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18795" windowHeight="11340" tabRatio="817" firstSheet="1" activeTab="1"/>
  </bookViews>
  <sheets>
    <sheet name="Buscador" sheetId="7" state="hidden" r:id="rId1"/>
    <sheet name="Vida Libre Inversión" sheetId="2" r:id="rId2"/>
    <sheet name="Vida Vehículo" sheetId="8" r:id="rId3"/>
    <sheet name="Vida Vivienda" sheetId="9" r:id="rId4"/>
    <sheet name="Incendio" sheetId="10" r:id="rId5"/>
    <sheet name="Autos Deudores" sheetId="11" r:id="rId6"/>
    <sheet name="Autos Empleados" sheetId="12" r:id="rId7"/>
  </sheets>
  <definedNames>
    <definedName name="_xlnm._FilterDatabase" localSheetId="1" hidden="1">'Vida Libre Inversión'!$B$3:$F$57</definedName>
    <definedName name="_xlnm.Print_Area" localSheetId="0">Buscador!$B$1:$N$60</definedName>
  </definedNames>
  <calcPr calcId="145621"/>
</workbook>
</file>

<file path=xl/calcChain.xml><?xml version="1.0" encoding="utf-8"?>
<calcChain xmlns="http://schemas.openxmlformats.org/spreadsheetml/2006/main">
  <c r="C31" i="12" l="1"/>
  <c r="D31" i="12" s="1"/>
  <c r="C35" i="12"/>
  <c r="D35" i="12" s="1"/>
  <c r="C36" i="12"/>
  <c r="C29" i="12"/>
  <c r="D29" i="12" s="1"/>
  <c r="C23" i="12"/>
  <c r="D23" i="12" s="1"/>
  <c r="C19" i="12"/>
  <c r="D19" i="12" s="1"/>
  <c r="C6" i="12"/>
  <c r="D6" i="12" s="1"/>
  <c r="C32" i="12"/>
  <c r="D32" i="12" s="1"/>
  <c r="C7" i="12"/>
  <c r="D7" i="12" s="1"/>
  <c r="C4" i="12"/>
  <c r="D4" i="12" s="1"/>
  <c r="C25" i="12"/>
  <c r="D25" i="12" s="1"/>
  <c r="C8" i="12"/>
  <c r="D8" i="12" s="1"/>
  <c r="C33" i="12"/>
  <c r="D33" i="12" s="1"/>
  <c r="C17" i="12"/>
  <c r="D17" i="12" s="1"/>
  <c r="C3" i="12"/>
  <c r="D3" i="12" s="1"/>
  <c r="C30" i="12"/>
  <c r="D30" i="12" s="1"/>
  <c r="C28" i="12"/>
  <c r="D28" i="12" s="1"/>
  <c r="C11" i="12"/>
  <c r="D11" i="12" s="1"/>
  <c r="C12" i="12"/>
  <c r="D12" i="12" s="1"/>
  <c r="C13" i="12"/>
  <c r="D13" i="12" s="1"/>
  <c r="C22" i="12"/>
  <c r="D22" i="12" s="1"/>
  <c r="C15" i="12"/>
  <c r="D15" i="12" s="1"/>
  <c r="C14" i="12"/>
  <c r="D14" i="12" s="1"/>
  <c r="C10" i="12"/>
  <c r="D10" i="12" s="1"/>
  <c r="C34" i="12"/>
  <c r="D34" i="12" s="1"/>
  <c r="C20" i="12"/>
  <c r="D20" i="12" s="1"/>
  <c r="C26" i="12"/>
  <c r="D26" i="12" s="1"/>
  <c r="C24" i="12"/>
  <c r="D24" i="12" s="1"/>
  <c r="C18" i="12"/>
  <c r="D18" i="12" s="1"/>
  <c r="C16" i="12"/>
  <c r="D16" i="12" s="1"/>
  <c r="C27" i="12"/>
  <c r="D27" i="12" s="1"/>
  <c r="C5" i="12"/>
  <c r="D5" i="12" s="1"/>
  <c r="C9" i="12"/>
  <c r="D9" i="12" s="1"/>
  <c r="C21" i="12"/>
  <c r="D21" i="12" s="1"/>
  <c r="D36" i="12" l="1"/>
  <c r="C18" i="11"/>
  <c r="D18" i="11" s="1"/>
  <c r="C9" i="11"/>
  <c r="D9" i="11" s="1"/>
  <c r="C24" i="11"/>
  <c r="D24" i="11" s="1"/>
  <c r="C23" i="11"/>
  <c r="D23" i="11" s="1"/>
  <c r="C28" i="11"/>
  <c r="D28" i="11" s="1"/>
  <c r="C4" i="11"/>
  <c r="D4" i="11" s="1"/>
  <c r="C25" i="11"/>
  <c r="D25" i="11" s="1"/>
  <c r="C8" i="11"/>
  <c r="D8" i="11" s="1"/>
  <c r="C19" i="11"/>
  <c r="D19" i="11" s="1"/>
  <c r="C5" i="11"/>
  <c r="D5" i="11" s="1"/>
  <c r="C6" i="11"/>
  <c r="D6" i="11" s="1"/>
  <c r="C14" i="11"/>
  <c r="D14" i="11" s="1"/>
  <c r="C10" i="11"/>
  <c r="D10" i="11" s="1"/>
  <c r="C7" i="11"/>
  <c r="D7" i="11" s="1"/>
  <c r="C27" i="11"/>
  <c r="D27" i="11" s="1"/>
  <c r="C20" i="11"/>
  <c r="D20" i="11" s="1"/>
  <c r="C15" i="11"/>
  <c r="D15" i="11" s="1"/>
  <c r="C16" i="11"/>
  <c r="D16" i="11" s="1"/>
  <c r="C21" i="11"/>
  <c r="D21" i="11" s="1"/>
  <c r="C13" i="11"/>
  <c r="D13" i="11" s="1"/>
  <c r="C17" i="11"/>
  <c r="D17" i="11" s="1"/>
  <c r="C22" i="11"/>
  <c r="D22" i="11" s="1"/>
  <c r="C11" i="11"/>
  <c r="D11" i="11" s="1"/>
  <c r="C3" i="11"/>
  <c r="D3" i="11" s="1"/>
  <c r="C26" i="11"/>
  <c r="D26" i="11" s="1"/>
  <c r="C12" i="11"/>
  <c r="D12" i="11" s="1"/>
  <c r="C41" i="9"/>
  <c r="D41" i="9" s="1"/>
  <c r="C5" i="9"/>
  <c r="D5" i="9" s="1"/>
  <c r="C116" i="9"/>
  <c r="D116" i="9" s="1"/>
  <c r="C171" i="9"/>
  <c r="D171" i="9" s="1"/>
  <c r="C71" i="9"/>
  <c r="D71" i="9" s="1"/>
  <c r="C95" i="10" l="1"/>
  <c r="D95" i="10" s="1"/>
  <c r="C53" i="10"/>
  <c r="D53" i="10" s="1"/>
  <c r="C139" i="10"/>
  <c r="D139" i="10" s="1"/>
  <c r="C158" i="10"/>
  <c r="D158" i="10" s="1"/>
  <c r="C156" i="10"/>
  <c r="D156" i="10" s="1"/>
  <c r="C144" i="10"/>
  <c r="D144" i="10" s="1"/>
  <c r="C132" i="10"/>
  <c r="D132" i="10" s="1"/>
  <c r="C133" i="10"/>
  <c r="D133" i="10" s="1"/>
  <c r="C159" i="10"/>
  <c r="D159" i="10" s="1"/>
  <c r="C140" i="10"/>
  <c r="D140" i="10" s="1"/>
  <c r="C54" i="10"/>
  <c r="D54" i="10" s="1"/>
  <c r="C101" i="10"/>
  <c r="D101" i="10" s="1"/>
  <c r="C149" i="10"/>
  <c r="D149" i="10" s="1"/>
  <c r="C43" i="10"/>
  <c r="D43" i="10" s="1"/>
  <c r="C157" i="10"/>
  <c r="D157" i="10" s="1"/>
  <c r="C76" i="10"/>
  <c r="D76" i="10" s="1"/>
  <c r="C18" i="10"/>
  <c r="D18" i="10" s="1"/>
  <c r="C42" i="10"/>
  <c r="D42" i="10" s="1"/>
  <c r="C141" i="10"/>
  <c r="D141" i="10" s="1"/>
  <c r="C111" i="10"/>
  <c r="D111" i="10" s="1"/>
  <c r="C123" i="10"/>
  <c r="D123" i="10" s="1"/>
  <c r="C151" i="10"/>
  <c r="D151" i="10" s="1"/>
  <c r="C152" i="10"/>
  <c r="D152" i="10" s="1"/>
  <c r="C145" i="10"/>
  <c r="D145" i="10" s="1"/>
  <c r="C150" i="10"/>
  <c r="D150" i="10" s="1"/>
  <c r="C142" i="10"/>
  <c r="D142" i="10" s="1"/>
  <c r="C154" i="10"/>
  <c r="D154" i="10" s="1"/>
  <c r="C78" i="10"/>
  <c r="D78" i="10" s="1"/>
  <c r="C19" i="10"/>
  <c r="D19" i="10" s="1"/>
  <c r="C102" i="10"/>
  <c r="D102" i="10" s="1"/>
  <c r="C48" i="10"/>
  <c r="D48" i="10" s="1"/>
  <c r="C134" i="10"/>
  <c r="D134" i="10" s="1"/>
  <c r="C135" i="10"/>
  <c r="D135" i="10" s="1"/>
  <c r="C136" i="10"/>
  <c r="D136" i="10" s="1"/>
  <c r="C137" i="10"/>
  <c r="D137" i="10" s="1"/>
  <c r="C126" i="10"/>
  <c r="D126" i="10" s="1"/>
  <c r="C127" i="10"/>
  <c r="D127" i="10" s="1"/>
  <c r="C128" i="10"/>
  <c r="D128" i="10" s="1"/>
  <c r="C129" i="10"/>
  <c r="D129" i="10" s="1"/>
  <c r="C122" i="10"/>
  <c r="D122" i="10" s="1"/>
  <c r="C114" i="10"/>
  <c r="D114" i="10" s="1"/>
  <c r="C115" i="10"/>
  <c r="D115" i="10" s="1"/>
  <c r="C108" i="10"/>
  <c r="D108" i="10" s="1"/>
  <c r="C109" i="10"/>
  <c r="D109" i="10" s="1"/>
  <c r="C110" i="10"/>
  <c r="D110" i="10" s="1"/>
  <c r="C103" i="10"/>
  <c r="D103" i="10" s="1"/>
  <c r="C96" i="10"/>
  <c r="D96" i="10" s="1"/>
  <c r="C90" i="10"/>
  <c r="D90" i="10" s="1"/>
  <c r="C86" i="10"/>
  <c r="D86" i="10" s="1"/>
  <c r="C87" i="10"/>
  <c r="D87" i="10" s="1"/>
  <c r="C79" i="10"/>
  <c r="D79" i="10" s="1"/>
  <c r="C80" i="10"/>
  <c r="D80" i="10" s="1"/>
  <c r="C81" i="10"/>
  <c r="D81" i="10" s="1"/>
  <c r="C63" i="10"/>
  <c r="D63" i="10" s="1"/>
  <c r="C55" i="10"/>
  <c r="D55" i="10" s="1"/>
  <c r="C67" i="10"/>
  <c r="D67" i="10" s="1"/>
  <c r="C69" i="10"/>
  <c r="D69" i="10" s="1"/>
  <c r="C49" i="10"/>
  <c r="D49" i="10" s="1"/>
  <c r="C33" i="10"/>
  <c r="D33" i="10" s="1"/>
  <c r="C34" i="10"/>
  <c r="D34" i="10" s="1"/>
  <c r="C26" i="10"/>
  <c r="D26" i="10" s="1"/>
  <c r="C27" i="10"/>
  <c r="D27" i="10" s="1"/>
  <c r="C28" i="10"/>
  <c r="D28" i="10" s="1"/>
  <c r="C68" i="10"/>
  <c r="D68" i="10" s="1"/>
  <c r="C130" i="10"/>
  <c r="D130" i="10" s="1"/>
  <c r="C70" i="10"/>
  <c r="D70" i="10" s="1"/>
  <c r="C77" i="10"/>
  <c r="D77" i="10" s="1"/>
  <c r="C47" i="10"/>
  <c r="D47" i="10" s="1"/>
  <c r="C91" i="10"/>
  <c r="D91" i="10" s="1"/>
  <c r="C88" i="10"/>
  <c r="D88" i="10" s="1"/>
  <c r="C146" i="10"/>
  <c r="D146" i="10" s="1"/>
  <c r="C124" i="10"/>
  <c r="D124" i="10" s="1"/>
  <c r="C153" i="10"/>
  <c r="D153" i="10" s="1"/>
  <c r="C118" i="10"/>
  <c r="D118" i="10" s="1"/>
  <c r="C116" i="10"/>
  <c r="D116" i="10" s="1"/>
  <c r="C117" i="10"/>
  <c r="D117" i="10" s="1"/>
  <c r="C143" i="10"/>
  <c r="D143" i="10" s="1"/>
  <c r="C112" i="10"/>
  <c r="D112" i="10" s="1"/>
  <c r="C104" i="10"/>
  <c r="D104" i="10" s="1"/>
  <c r="C105" i="10"/>
  <c r="D105" i="10" s="1"/>
  <c r="C97" i="10"/>
  <c r="D97" i="10" s="1"/>
  <c r="C98" i="10"/>
  <c r="D98" i="10" s="1"/>
  <c r="C92" i="10"/>
  <c r="D92" i="10" s="1"/>
  <c r="C89" i="10"/>
  <c r="D89" i="10" s="1"/>
  <c r="C82" i="10"/>
  <c r="D82" i="10" s="1"/>
  <c r="C71" i="10"/>
  <c r="D71" i="10" s="1"/>
  <c r="C72" i="10"/>
  <c r="D72" i="10" s="1"/>
  <c r="C64" i="10"/>
  <c r="D64" i="10" s="1"/>
  <c r="C50" i="10"/>
  <c r="D50" i="10" s="1"/>
  <c r="C56" i="10"/>
  <c r="D56" i="10" s="1"/>
  <c r="C59" i="10"/>
  <c r="D59" i="10" s="1"/>
  <c r="C65" i="10"/>
  <c r="D65" i="10" s="1"/>
  <c r="C57" i="10"/>
  <c r="D57" i="10" s="1"/>
  <c r="C35" i="10"/>
  <c r="D35" i="10" s="1"/>
  <c r="C51" i="10"/>
  <c r="D51" i="10" s="1"/>
  <c r="C44" i="10"/>
  <c r="D44" i="10" s="1"/>
  <c r="C45" i="10"/>
  <c r="D45" i="10" s="1"/>
  <c r="C113" i="10"/>
  <c r="D113" i="10" s="1"/>
  <c r="C83" i="10"/>
  <c r="D83" i="10" s="1"/>
  <c r="C24" i="10"/>
  <c r="D24" i="10" s="1"/>
  <c r="C106" i="10"/>
  <c r="D106" i="10" s="1"/>
  <c r="C4" i="10"/>
  <c r="D4" i="10" s="1"/>
  <c r="C36" i="10"/>
  <c r="D36" i="10" s="1"/>
  <c r="C93" i="10"/>
  <c r="D93" i="10" s="1"/>
  <c r="C60" i="10"/>
  <c r="D60" i="10" s="1"/>
  <c r="C58" i="10"/>
  <c r="D58" i="10" s="1"/>
  <c r="C29" i="10"/>
  <c r="D29" i="10" s="1"/>
  <c r="C84" i="10"/>
  <c r="D84" i="10" s="1"/>
  <c r="C37" i="10"/>
  <c r="D37" i="10" s="1"/>
  <c r="C11" i="10"/>
  <c r="D11" i="10" s="1"/>
  <c r="C61" i="10"/>
  <c r="D61" i="10" s="1"/>
  <c r="C20" i="10"/>
  <c r="D20" i="10" s="1"/>
  <c r="C66" i="10"/>
  <c r="D66" i="10" s="1"/>
  <c r="C125" i="10"/>
  <c r="D125" i="10" s="1"/>
  <c r="C73" i="10"/>
  <c r="D73" i="10" s="1"/>
  <c r="C119" i="10"/>
  <c r="D119" i="10" s="1"/>
  <c r="C21" i="10"/>
  <c r="D21" i="10" s="1"/>
  <c r="C147" i="10"/>
  <c r="D147" i="10" s="1"/>
  <c r="C16" i="10"/>
  <c r="D16" i="10" s="1"/>
  <c r="C17" i="10"/>
  <c r="D17" i="10" s="1"/>
  <c r="C15" i="10"/>
  <c r="D15" i="10" s="1"/>
  <c r="C32" i="10"/>
  <c r="D32" i="10" s="1"/>
  <c r="C30" i="10"/>
  <c r="D30" i="10" s="1"/>
  <c r="C131" i="10"/>
  <c r="D131" i="10" s="1"/>
  <c r="C120" i="10"/>
  <c r="D120" i="10" s="1"/>
  <c r="C74" i="10"/>
  <c r="D74" i="10" s="1"/>
  <c r="C75" i="10"/>
  <c r="D75" i="10" s="1"/>
  <c r="C5" i="10"/>
  <c r="D5" i="10" s="1"/>
  <c r="C121" i="10"/>
  <c r="D121" i="10" s="1"/>
  <c r="C12" i="10"/>
  <c r="D12" i="10" s="1"/>
  <c r="C148" i="10"/>
  <c r="D148" i="10" s="1"/>
  <c r="C107" i="10"/>
  <c r="D107" i="10" s="1"/>
  <c r="C46" i="10"/>
  <c r="D46" i="10" s="1"/>
  <c r="C62" i="10"/>
  <c r="D62" i="10" s="1"/>
  <c r="C31" i="10"/>
  <c r="D31" i="10" s="1"/>
  <c r="C138" i="10"/>
  <c r="D138" i="10" s="1"/>
  <c r="C85" i="10"/>
  <c r="D85" i="10" s="1"/>
  <c r="C7" i="10"/>
  <c r="D7" i="10" s="1"/>
  <c r="C38" i="10"/>
  <c r="D38" i="10" s="1"/>
  <c r="C23" i="10"/>
  <c r="D23" i="10" s="1"/>
  <c r="C8" i="10"/>
  <c r="D8" i="10" s="1"/>
  <c r="C22" i="10"/>
  <c r="D22" i="10" s="1"/>
  <c r="C13" i="10"/>
  <c r="D13" i="10" s="1"/>
  <c r="C52" i="10"/>
  <c r="D52" i="10" s="1"/>
  <c r="C14" i="10"/>
  <c r="D14" i="10" s="1"/>
  <c r="C99" i="10"/>
  <c r="D99" i="10" s="1"/>
  <c r="C6" i="10"/>
  <c r="D6" i="10" s="1"/>
  <c r="C10" i="10"/>
  <c r="D10" i="10" s="1"/>
  <c r="C39" i="10"/>
  <c r="D39" i="10" s="1"/>
  <c r="C94" i="10"/>
  <c r="D94" i="10" s="1"/>
  <c r="C40" i="10"/>
  <c r="D40" i="10" s="1"/>
  <c r="C41" i="10"/>
  <c r="D41" i="10" s="1"/>
  <c r="C9" i="10"/>
  <c r="D9" i="10" s="1"/>
  <c r="C25" i="10"/>
  <c r="D25" i="10" s="1"/>
  <c r="C100" i="10"/>
  <c r="D100" i="10" s="1"/>
  <c r="C155" i="10"/>
  <c r="D155" i="10" s="1"/>
  <c r="C128" i="9"/>
  <c r="D128" i="9" s="1"/>
  <c r="C178" i="9"/>
  <c r="D178" i="9" s="1"/>
  <c r="C198" i="9"/>
  <c r="D198" i="9" s="1"/>
  <c r="C201" i="9"/>
  <c r="D201" i="9" s="1"/>
  <c r="C199" i="9"/>
  <c r="D199" i="9" s="1"/>
  <c r="C186" i="9"/>
  <c r="D186" i="9" s="1"/>
  <c r="C172" i="9"/>
  <c r="D172" i="9" s="1"/>
  <c r="C202" i="9"/>
  <c r="D202" i="9" s="1"/>
  <c r="C179" i="9"/>
  <c r="D179" i="9" s="1"/>
  <c r="C72" i="9"/>
  <c r="D72" i="9" s="1"/>
  <c r="C137" i="9"/>
  <c r="D137" i="9" s="1"/>
  <c r="C191" i="9"/>
  <c r="D191" i="9" s="1"/>
  <c r="C56" i="9"/>
  <c r="D56" i="9" s="1"/>
  <c r="C200" i="9"/>
  <c r="D200" i="9" s="1"/>
  <c r="C105" i="9"/>
  <c r="D105" i="9" s="1"/>
  <c r="C22" i="9"/>
  <c r="D22" i="9" s="1"/>
  <c r="C57" i="9"/>
  <c r="D57" i="9" s="1"/>
  <c r="C180" i="9"/>
  <c r="D180" i="9" s="1"/>
  <c r="C143" i="9"/>
  <c r="D143" i="9" s="1"/>
  <c r="C144" i="9"/>
  <c r="D144" i="9" s="1"/>
  <c r="C159" i="9"/>
  <c r="D159" i="9" s="1"/>
  <c r="C121" i="9"/>
  <c r="D121" i="9" s="1"/>
  <c r="C196" i="9"/>
  <c r="D196" i="9" s="1"/>
  <c r="C192" i="9"/>
  <c r="D192" i="9" s="1"/>
  <c r="C193" i="9"/>
  <c r="D193" i="9" s="1"/>
  <c r="C187" i="9"/>
  <c r="D187" i="9" s="1"/>
  <c r="C190" i="9"/>
  <c r="D190" i="9" s="1"/>
  <c r="C182" i="9"/>
  <c r="D182" i="9" s="1"/>
  <c r="C195" i="9"/>
  <c r="D195" i="9" s="1"/>
  <c r="C163" i="9"/>
  <c r="D163" i="9" s="1"/>
  <c r="C24" i="9"/>
  <c r="D24" i="9" s="1"/>
  <c r="C138" i="9"/>
  <c r="D138" i="9" s="1"/>
  <c r="C61" i="9"/>
  <c r="D61" i="9" s="1"/>
  <c r="C173" i="9"/>
  <c r="D173" i="9" s="1"/>
  <c r="C174" i="9"/>
  <c r="D174" i="9" s="1"/>
  <c r="C175" i="9"/>
  <c r="D175" i="9" s="1"/>
  <c r="C176" i="9"/>
  <c r="D176" i="9" s="1"/>
  <c r="C164" i="9"/>
  <c r="D164" i="9" s="1"/>
  <c r="C165" i="9"/>
  <c r="D165" i="9" s="1"/>
  <c r="C166" i="9"/>
  <c r="D166" i="9" s="1"/>
  <c r="C160" i="9"/>
  <c r="D160" i="9" s="1"/>
  <c r="C150" i="9"/>
  <c r="D150" i="9" s="1"/>
  <c r="C152" i="9"/>
  <c r="D152" i="9" s="1"/>
  <c r="C145" i="9"/>
  <c r="D145" i="9" s="1"/>
  <c r="C146" i="9"/>
  <c r="D146" i="9" s="1"/>
  <c r="C147" i="9"/>
  <c r="D147" i="9" s="1"/>
  <c r="C136" i="9"/>
  <c r="D136" i="9" s="1"/>
  <c r="C129" i="9"/>
  <c r="D129" i="9" s="1"/>
  <c r="C130" i="9"/>
  <c r="D130" i="9" s="1"/>
  <c r="C122" i="9"/>
  <c r="D122" i="9" s="1"/>
  <c r="C117" i="9"/>
  <c r="D117" i="9" s="1"/>
  <c r="C107" i="9"/>
  <c r="D107" i="9" s="1"/>
  <c r="C108" i="9"/>
  <c r="D108" i="9" s="1"/>
  <c r="C109" i="9"/>
  <c r="D109" i="9" s="1"/>
  <c r="C84" i="9"/>
  <c r="D84" i="9" s="1"/>
  <c r="C73" i="9"/>
  <c r="D73" i="9" s="1"/>
  <c r="C92" i="9"/>
  <c r="D92" i="9" s="1"/>
  <c r="C97" i="9"/>
  <c r="D97" i="9" s="1"/>
  <c r="C64" i="9"/>
  <c r="D64" i="9" s="1"/>
  <c r="C46" i="9"/>
  <c r="D46" i="9" s="1"/>
  <c r="C48" i="9"/>
  <c r="D48" i="9" s="1"/>
  <c r="C38" i="9"/>
  <c r="D38" i="9" s="1"/>
  <c r="C34" i="9"/>
  <c r="D34" i="9" s="1"/>
  <c r="C35" i="9"/>
  <c r="D35" i="9" s="1"/>
  <c r="C94" i="9"/>
  <c r="D94" i="9" s="1"/>
  <c r="C167" i="9"/>
  <c r="D167" i="9" s="1"/>
  <c r="C98" i="9"/>
  <c r="D98" i="9" s="1"/>
  <c r="C110" i="9"/>
  <c r="D110" i="9" s="1"/>
  <c r="C65" i="9"/>
  <c r="D65" i="9" s="1"/>
  <c r="C123" i="9"/>
  <c r="D123" i="9" s="1"/>
  <c r="C118" i="9"/>
  <c r="D118" i="9" s="1"/>
  <c r="C188" i="9"/>
  <c r="D188" i="9" s="1"/>
  <c r="C161" i="9"/>
  <c r="D161" i="9" s="1"/>
  <c r="C194" i="9"/>
  <c r="D194" i="9" s="1"/>
  <c r="C155" i="9"/>
  <c r="D155" i="9" s="1"/>
  <c r="C153" i="9"/>
  <c r="D153" i="9" s="1"/>
  <c r="C154" i="9"/>
  <c r="D154" i="9" s="1"/>
  <c r="C183" i="9"/>
  <c r="D183" i="9" s="1"/>
  <c r="C148" i="9"/>
  <c r="D148" i="9" s="1"/>
  <c r="C139" i="9"/>
  <c r="D139" i="9" s="1"/>
  <c r="C140" i="9"/>
  <c r="D140" i="9" s="1"/>
  <c r="C131" i="9"/>
  <c r="D131" i="9" s="1"/>
  <c r="C132" i="9"/>
  <c r="D132" i="9" s="1"/>
  <c r="C124" i="9"/>
  <c r="D124" i="9" s="1"/>
  <c r="C119" i="9"/>
  <c r="D119" i="9" s="1"/>
  <c r="C111" i="9"/>
  <c r="D111" i="9" s="1"/>
  <c r="C112" i="9"/>
  <c r="D112" i="9" s="1"/>
  <c r="C99" i="9"/>
  <c r="D99" i="9" s="1"/>
  <c r="C100" i="9"/>
  <c r="D100" i="9" s="1"/>
  <c r="C101" i="9"/>
  <c r="D101" i="9" s="1"/>
  <c r="C86" i="9"/>
  <c r="D86" i="9" s="1"/>
  <c r="C66" i="9"/>
  <c r="D66" i="9" s="1"/>
  <c r="C70" i="9"/>
  <c r="D70" i="9" s="1"/>
  <c r="C79" i="9"/>
  <c r="D79" i="9" s="1"/>
  <c r="C88" i="9"/>
  <c r="D88" i="9" s="1"/>
  <c r="C69" i="9"/>
  <c r="D69" i="9" s="1"/>
  <c r="C49" i="9"/>
  <c r="D49" i="9" s="1"/>
  <c r="C68" i="9"/>
  <c r="D68" i="9" s="1"/>
  <c r="C58" i="9"/>
  <c r="D58" i="9" s="1"/>
  <c r="C59" i="9"/>
  <c r="D59" i="9" s="1"/>
  <c r="C149" i="9"/>
  <c r="D149" i="9" s="1"/>
  <c r="C113" i="9"/>
  <c r="D113" i="9" s="1"/>
  <c r="C28" i="9"/>
  <c r="D28" i="9" s="1"/>
  <c r="C21" i="9"/>
  <c r="D21" i="9" s="1"/>
  <c r="C141" i="9"/>
  <c r="D141" i="9" s="1"/>
  <c r="C114" i="9"/>
  <c r="D114" i="9" s="1"/>
  <c r="C168" i="9"/>
  <c r="D168" i="9" s="1"/>
  <c r="C36" i="9"/>
  <c r="D36" i="9" s="1"/>
  <c r="C51" i="9"/>
  <c r="D51" i="9" s="1"/>
  <c r="C52" i="9"/>
  <c r="D52" i="9" s="1"/>
  <c r="C125" i="9"/>
  <c r="D125" i="9" s="1"/>
  <c r="C80" i="9"/>
  <c r="D80" i="9" s="1"/>
  <c r="C81" i="9"/>
  <c r="D81" i="9" s="1"/>
  <c r="C74" i="9"/>
  <c r="D74" i="9" s="1"/>
  <c r="C39" i="9"/>
  <c r="D39" i="9" s="1"/>
  <c r="C115" i="9"/>
  <c r="D115" i="9" s="1"/>
  <c r="C45" i="9"/>
  <c r="D45" i="9" s="1"/>
  <c r="C14" i="9"/>
  <c r="D14" i="9" s="1"/>
  <c r="C78" i="9"/>
  <c r="D78" i="9" s="1"/>
  <c r="C23" i="9"/>
  <c r="D23" i="9" s="1"/>
  <c r="C89" i="9"/>
  <c r="D89" i="9" s="1"/>
  <c r="C162" i="9"/>
  <c r="D162" i="9" s="1"/>
  <c r="C102" i="9"/>
  <c r="D102" i="9" s="1"/>
  <c r="C156" i="9"/>
  <c r="D156" i="9" s="1"/>
  <c r="C25" i="9"/>
  <c r="D25" i="9" s="1"/>
  <c r="C189" i="9"/>
  <c r="D189" i="9" s="1"/>
  <c r="C26" i="9"/>
  <c r="D26" i="9" s="1"/>
  <c r="C75" i="9"/>
  <c r="D75" i="9" s="1"/>
  <c r="C27" i="9"/>
  <c r="D27" i="9" s="1"/>
  <c r="C18" i="9"/>
  <c r="D18" i="9" s="1"/>
  <c r="C50" i="9"/>
  <c r="D50" i="9" s="1"/>
  <c r="C7" i="9"/>
  <c r="D7" i="9" s="1"/>
  <c r="C37" i="9"/>
  <c r="D37" i="9" s="1"/>
  <c r="C169" i="9"/>
  <c r="D169" i="9" s="1"/>
  <c r="C157" i="9"/>
  <c r="D157" i="9" s="1"/>
  <c r="C103" i="9"/>
  <c r="D103" i="9" s="1"/>
  <c r="C104" i="9"/>
  <c r="D104" i="9" s="1"/>
  <c r="C158" i="9"/>
  <c r="D158" i="9" s="1"/>
  <c r="C87" i="9"/>
  <c r="D87" i="9" s="1"/>
  <c r="C126" i="9"/>
  <c r="D126" i="9" s="1"/>
  <c r="C15" i="9"/>
  <c r="D15" i="9" s="1"/>
  <c r="C185" i="9"/>
  <c r="D185" i="9" s="1"/>
  <c r="C120" i="9"/>
  <c r="D120" i="9" s="1"/>
  <c r="C142" i="9"/>
  <c r="D142" i="9" s="1"/>
  <c r="C53" i="9"/>
  <c r="D53" i="9" s="1"/>
  <c r="C184" i="9"/>
  <c r="D184" i="9" s="1"/>
  <c r="C60" i="9"/>
  <c r="D60" i="9" s="1"/>
  <c r="C133" i="9"/>
  <c r="D133" i="9" s="1"/>
  <c r="C177" i="9"/>
  <c r="D177" i="9" s="1"/>
  <c r="C40" i="9"/>
  <c r="D40" i="9" s="1"/>
  <c r="C85" i="9"/>
  <c r="D85" i="9" s="1"/>
  <c r="C96" i="9"/>
  <c r="D96" i="9" s="1"/>
  <c r="C82" i="9"/>
  <c r="D82" i="9" s="1"/>
  <c r="C83" i="9"/>
  <c r="D83" i="9" s="1"/>
  <c r="C106" i="9"/>
  <c r="D106" i="9" s="1"/>
  <c r="C8" i="9"/>
  <c r="D8" i="9" s="1"/>
  <c r="C47" i="9"/>
  <c r="D47" i="9" s="1"/>
  <c r="C30" i="9"/>
  <c r="D30" i="9" s="1"/>
  <c r="C17" i="9"/>
  <c r="D17" i="9" s="1"/>
  <c r="C9" i="9"/>
  <c r="D9" i="9" s="1"/>
  <c r="C19" i="9"/>
  <c r="D19" i="9" s="1"/>
  <c r="C32" i="9"/>
  <c r="D32" i="9" s="1"/>
  <c r="C11" i="9"/>
  <c r="D11" i="9" s="1"/>
  <c r="C43" i="9"/>
  <c r="D43" i="9" s="1"/>
  <c r="C63" i="9"/>
  <c r="D63" i="9" s="1"/>
  <c r="C44" i="9"/>
  <c r="D44" i="9" s="1"/>
  <c r="C12" i="9"/>
  <c r="D12" i="9" s="1"/>
  <c r="C13" i="9"/>
  <c r="D13" i="9" s="1"/>
  <c r="C62" i="9"/>
  <c r="D62" i="9" s="1"/>
  <c r="C134" i="9"/>
  <c r="D134" i="9" s="1"/>
  <c r="C33" i="9"/>
  <c r="D33" i="9" s="1"/>
  <c r="C90" i="9"/>
  <c r="D90" i="9" s="1"/>
  <c r="C6" i="9"/>
  <c r="D6" i="9" s="1"/>
  <c r="C181" i="9"/>
  <c r="D181" i="9" s="1"/>
  <c r="C54" i="9"/>
  <c r="D54" i="9" s="1"/>
  <c r="C55" i="9"/>
  <c r="D55" i="9" s="1"/>
  <c r="C127" i="9"/>
  <c r="D127" i="9" s="1"/>
  <c r="C76" i="9"/>
  <c r="D76" i="9" s="1"/>
  <c r="C95" i="9"/>
  <c r="D95" i="9" s="1"/>
  <c r="C77" i="9"/>
  <c r="D77" i="9" s="1"/>
  <c r="C67" i="9"/>
  <c r="D67" i="9" s="1"/>
  <c r="C93" i="9"/>
  <c r="D93" i="9" s="1"/>
  <c r="C10" i="9"/>
  <c r="D10" i="9" s="1"/>
  <c r="C151" i="9"/>
  <c r="D151" i="9" s="1"/>
  <c r="C170" i="9"/>
  <c r="D170" i="9" s="1"/>
  <c r="C31" i="9"/>
  <c r="D31" i="9" s="1"/>
  <c r="C4" i="9"/>
  <c r="D4" i="9" s="1"/>
  <c r="C29" i="9"/>
  <c r="D29" i="9" s="1"/>
  <c r="C42" i="9"/>
  <c r="D42" i="9" s="1"/>
  <c r="C16" i="9"/>
  <c r="D16" i="9" s="1"/>
  <c r="C20" i="9"/>
  <c r="D20" i="9" s="1"/>
  <c r="C135" i="9"/>
  <c r="D135" i="9" s="1"/>
  <c r="C91" i="9"/>
  <c r="D91" i="9" s="1"/>
  <c r="C197" i="9"/>
  <c r="D197" i="9" s="1"/>
  <c r="C57" i="8" l="1"/>
  <c r="D57" i="8" s="1"/>
  <c r="C47" i="8"/>
  <c r="D47" i="8" s="1"/>
  <c r="C15" i="8"/>
  <c r="D15" i="8" s="1"/>
  <c r="C48" i="8"/>
  <c r="D48" i="8" s="1"/>
  <c r="C38" i="8"/>
  <c r="D38" i="8" s="1"/>
  <c r="C27" i="8"/>
  <c r="D27" i="8" s="1"/>
  <c r="C25" i="8"/>
  <c r="D25" i="8" s="1"/>
  <c r="C26" i="8"/>
  <c r="D26" i="8" s="1"/>
  <c r="C58" i="8"/>
  <c r="D58" i="8" s="1"/>
  <c r="C49" i="8"/>
  <c r="D49" i="8" s="1"/>
  <c r="C31" i="8"/>
  <c r="D31" i="8" s="1"/>
  <c r="C55" i="8"/>
  <c r="D55" i="8" s="1"/>
  <c r="C7" i="8"/>
  <c r="D7" i="8" s="1"/>
  <c r="C13" i="8"/>
  <c r="D13" i="8" s="1"/>
  <c r="C39" i="8"/>
  <c r="D39" i="8" s="1"/>
  <c r="C28" i="8"/>
  <c r="D28" i="8" s="1"/>
  <c r="C19" i="8"/>
  <c r="D19" i="8" s="1"/>
  <c r="C23" i="8"/>
  <c r="D23" i="8" s="1"/>
  <c r="C16" i="8"/>
  <c r="D16" i="8" s="1"/>
  <c r="C14" i="8"/>
  <c r="D14" i="8" s="1"/>
  <c r="C29" i="8"/>
  <c r="D29" i="8" s="1"/>
  <c r="C67" i="8"/>
  <c r="D67" i="8" s="1"/>
  <c r="C12" i="8"/>
  <c r="D12" i="8" s="1"/>
  <c r="C17" i="8"/>
  <c r="D17" i="8" s="1"/>
  <c r="C63" i="8"/>
  <c r="D63" i="8" s="1"/>
  <c r="C40" i="8"/>
  <c r="D40" i="8" s="1"/>
  <c r="C61" i="8"/>
  <c r="D61" i="8" s="1"/>
  <c r="C20" i="8"/>
  <c r="D20" i="8" s="1"/>
  <c r="C8" i="8"/>
  <c r="D8" i="8" s="1"/>
  <c r="C11" i="8"/>
  <c r="D11" i="8" s="1"/>
  <c r="C44" i="8"/>
  <c r="D44" i="8" s="1"/>
  <c r="C42" i="8"/>
  <c r="D42" i="8" s="1"/>
  <c r="C18" i="8"/>
  <c r="D18" i="8" s="1"/>
  <c r="C35" i="8"/>
  <c r="D35" i="8" s="1"/>
  <c r="C4" i="8"/>
  <c r="D4" i="8" s="1"/>
  <c r="C50" i="8"/>
  <c r="D50" i="8" s="1"/>
  <c r="C62" i="8"/>
  <c r="D62" i="8" s="1"/>
  <c r="C45" i="8"/>
  <c r="D45" i="8" s="1"/>
  <c r="C36" i="8"/>
  <c r="D36" i="8" s="1"/>
  <c r="C52" i="8"/>
  <c r="D52" i="8" s="1"/>
  <c r="C9" i="8"/>
  <c r="D9" i="8" s="1"/>
  <c r="C53" i="8"/>
  <c r="D53" i="8" s="1"/>
  <c r="C5" i="8"/>
  <c r="D5" i="8" s="1"/>
  <c r="C32" i="8"/>
  <c r="D32" i="8" s="1"/>
  <c r="C34" i="8"/>
  <c r="D34" i="8" s="1"/>
  <c r="C21" i="8"/>
  <c r="D21" i="8" s="1"/>
  <c r="C43" i="8"/>
  <c r="D43" i="8" s="1"/>
  <c r="C22" i="8"/>
  <c r="D22" i="8" s="1"/>
  <c r="C64" i="8"/>
  <c r="D64" i="8" s="1"/>
  <c r="C6" i="8"/>
  <c r="D6" i="8" s="1"/>
  <c r="C59" i="8"/>
  <c r="D59" i="8" s="1"/>
  <c r="C30" i="8"/>
  <c r="D30" i="8" s="1"/>
  <c r="C37" i="8"/>
  <c r="D37" i="8" s="1"/>
  <c r="C33" i="8"/>
  <c r="D33" i="8" s="1"/>
  <c r="C56" i="8"/>
  <c r="D56" i="8" s="1"/>
  <c r="C51" i="8"/>
  <c r="D51" i="8" s="1"/>
  <c r="C65" i="8"/>
  <c r="D65" i="8" s="1"/>
  <c r="C60" i="8"/>
  <c r="D60" i="8" s="1"/>
  <c r="C54" i="8"/>
  <c r="D54" i="8" s="1"/>
  <c r="C41" i="8"/>
  <c r="D41" i="8" s="1"/>
  <c r="C46" i="8"/>
  <c r="D46" i="8" s="1"/>
  <c r="C10" i="8"/>
  <c r="D10" i="8" s="1"/>
  <c r="C24" i="8"/>
  <c r="D24" i="8" s="1"/>
  <c r="C66" i="8"/>
  <c r="D66" i="8" s="1"/>
  <c r="C53" i="2" l="1"/>
  <c r="D53" i="2" s="1"/>
  <c r="C54" i="2"/>
  <c r="D54" i="2" s="1"/>
  <c r="C43" i="2"/>
  <c r="D43" i="2" s="1"/>
  <c r="C44" i="2"/>
  <c r="D44" i="2" s="1"/>
  <c r="C45" i="2"/>
  <c r="D45" i="2" s="1"/>
  <c r="C34" i="2"/>
  <c r="D34" i="2" s="1"/>
  <c r="C35" i="2"/>
  <c r="D35" i="2" s="1"/>
  <c r="C36" i="2"/>
  <c r="D36" i="2" s="1"/>
  <c r="C47" i="2"/>
  <c r="D47" i="2" s="1"/>
  <c r="C37" i="2"/>
  <c r="D37" i="2" s="1"/>
  <c r="C38" i="2"/>
  <c r="D38" i="2" s="1"/>
  <c r="C39" i="2"/>
  <c r="D39" i="2" s="1"/>
  <c r="C21" i="2"/>
  <c r="D21" i="2" s="1"/>
  <c r="C22" i="2"/>
  <c r="D22" i="2" s="1"/>
  <c r="C23" i="2"/>
  <c r="D23" i="2" s="1"/>
  <c r="C15" i="2"/>
  <c r="D15" i="2" s="1"/>
  <c r="C16" i="2"/>
  <c r="D16" i="2" s="1"/>
  <c r="C17" i="2"/>
  <c r="D17" i="2" s="1"/>
  <c r="C55" i="2"/>
  <c r="D55" i="2" s="1"/>
  <c r="C51" i="2"/>
  <c r="D51" i="2" s="1"/>
  <c r="C52" i="2"/>
  <c r="D52" i="2" s="1"/>
  <c r="C46" i="2"/>
  <c r="D46" i="2" s="1"/>
  <c r="C8" i="2"/>
  <c r="D8" i="2" s="1"/>
  <c r="C9" i="2"/>
  <c r="D9" i="2" s="1"/>
  <c r="C10" i="2"/>
  <c r="D10" i="2" s="1"/>
  <c r="C31" i="2"/>
  <c r="D31" i="2" s="1"/>
  <c r="C32" i="2"/>
  <c r="D32" i="2" s="1"/>
  <c r="C33" i="2"/>
  <c r="D33" i="2" s="1"/>
  <c r="C56" i="2"/>
  <c r="D56" i="2" s="1"/>
  <c r="C57" i="2"/>
  <c r="D57" i="2" s="1"/>
  <c r="C26" i="2"/>
  <c r="D26" i="2" s="1"/>
  <c r="C27" i="2"/>
  <c r="D27" i="2" s="1"/>
  <c r="C28" i="2"/>
  <c r="D28" i="2" s="1"/>
  <c r="C19" i="2"/>
  <c r="D19" i="2" s="1"/>
  <c r="C20" i="2"/>
  <c r="D20" i="2" s="1"/>
  <c r="C12" i="2"/>
  <c r="D12" i="2" s="1"/>
  <c r="C13" i="2"/>
  <c r="D13" i="2" s="1"/>
  <c r="C11" i="2"/>
  <c r="D11" i="2" s="1"/>
  <c r="C4" i="2"/>
  <c r="D4" i="2" s="1"/>
  <c r="C5" i="2"/>
  <c r="D5" i="2" s="1"/>
  <c r="C6" i="2"/>
  <c r="D6" i="2" s="1"/>
  <c r="C7" i="2"/>
  <c r="D7" i="2" s="1"/>
  <c r="C29" i="2"/>
  <c r="D29" i="2" s="1"/>
  <c r="C30" i="2"/>
  <c r="D30" i="2" s="1"/>
  <c r="C48" i="2"/>
  <c r="D48" i="2" s="1"/>
  <c r="C49" i="2"/>
  <c r="D49" i="2" s="1"/>
  <c r="C50" i="2"/>
  <c r="D50" i="2" s="1"/>
  <c r="C40" i="2"/>
  <c r="D40" i="2" s="1"/>
  <c r="C41" i="2"/>
  <c r="D41" i="2" s="1"/>
  <c r="C42" i="2"/>
  <c r="D42" i="2" s="1"/>
  <c r="C14" i="2"/>
  <c r="D14" i="2" s="1"/>
  <c r="C24" i="2"/>
  <c r="D24" i="2" s="1"/>
  <c r="C25" i="2"/>
  <c r="D25" i="2" s="1"/>
  <c r="C18" i="2"/>
  <c r="D18" i="2" s="1"/>
  <c r="N24" i="12" l="1"/>
  <c r="N10" i="12" l="1"/>
  <c r="P26" i="11" l="1"/>
  <c r="P3" i="11"/>
  <c r="N14" i="12" l="1"/>
  <c r="N15" i="12"/>
  <c r="N13" i="12" l="1"/>
  <c r="N12" i="12"/>
  <c r="N11" i="12"/>
  <c r="N28" i="12"/>
  <c r="N30" i="12"/>
  <c r="N3" i="12"/>
  <c r="N17" i="12"/>
  <c r="N33" i="12"/>
  <c r="N8" i="12"/>
  <c r="N25" i="12"/>
  <c r="N4" i="12"/>
  <c r="N7" i="12"/>
  <c r="N32" i="12"/>
  <c r="N6" i="12"/>
  <c r="N19" i="12"/>
  <c r="N23" i="12"/>
  <c r="N29" i="12"/>
  <c r="N36" i="12"/>
  <c r="N35" i="12"/>
  <c r="N31" i="12"/>
  <c r="N21" i="12"/>
  <c r="P11" i="11" l="1"/>
  <c r="P22" i="11"/>
  <c r="P17" i="11"/>
  <c r="P13" i="11"/>
  <c r="P21" i="11"/>
  <c r="P16" i="11"/>
  <c r="P15" i="11"/>
  <c r="P20" i="11"/>
  <c r="P27" i="11"/>
  <c r="P7" i="11"/>
  <c r="P10" i="11"/>
  <c r="P14" i="11"/>
  <c r="P6" i="11"/>
  <c r="P5" i="11"/>
  <c r="P19" i="11"/>
  <c r="P8" i="11"/>
  <c r="P25" i="11"/>
  <c r="P4" i="11"/>
  <c r="P28" i="11"/>
  <c r="P23" i="11"/>
  <c r="P24" i="11"/>
  <c r="P9" i="11"/>
  <c r="P18" i="11"/>
  <c r="P12" i="11"/>
  <c r="D17" i="7" l="1"/>
  <c r="I17" i="7"/>
  <c r="J17" i="7"/>
  <c r="E17" i="7"/>
  <c r="H87" i="7" l="1"/>
  <c r="H88" i="7"/>
  <c r="E83" i="7"/>
  <c r="G83" i="7"/>
  <c r="K83" i="7"/>
  <c r="J88" i="7"/>
  <c r="L83" i="7"/>
  <c r="I83" i="7"/>
  <c r="G88" i="7"/>
  <c r="F85" i="7"/>
  <c r="F83" i="7"/>
  <c r="G87" i="7"/>
  <c r="J83" i="7"/>
  <c r="G86" i="7"/>
  <c r="G91" i="7"/>
  <c r="G90" i="7"/>
  <c r="D91" i="7"/>
  <c r="D87" i="7"/>
  <c r="E91" i="7"/>
  <c r="E87" i="7"/>
  <c r="F91" i="7"/>
  <c r="F87" i="7"/>
  <c r="H91" i="7"/>
  <c r="H89" i="7"/>
  <c r="H85" i="7"/>
  <c r="D90" i="7"/>
  <c r="D86" i="7"/>
  <c r="E90" i="7"/>
  <c r="E86" i="7"/>
  <c r="F90" i="7"/>
  <c r="F86" i="7"/>
  <c r="G89" i="7"/>
  <c r="G85" i="7"/>
  <c r="D89" i="7"/>
  <c r="D85" i="7"/>
  <c r="E89" i="7"/>
  <c r="E85" i="7"/>
  <c r="F89" i="7"/>
  <c r="H90" i="7"/>
  <c r="H86" i="7"/>
  <c r="H84" i="7"/>
  <c r="H83" i="7"/>
  <c r="D83" i="7"/>
  <c r="D88" i="7"/>
  <c r="D84" i="7"/>
  <c r="E88" i="7"/>
  <c r="E84" i="7"/>
  <c r="F88" i="7"/>
  <c r="F84" i="7"/>
  <c r="G84" i="7"/>
  <c r="C83" i="7"/>
  <c r="N22" i="7"/>
  <c r="L88" i="7"/>
  <c r="K88" i="7"/>
  <c r="N91" i="7" l="1"/>
  <c r="J22" i="7" l="1"/>
  <c r="I22" i="7"/>
  <c r="H22" i="7"/>
  <c r="G22" i="7"/>
  <c r="E22" i="7"/>
  <c r="F22" i="7"/>
  <c r="D22" i="7"/>
  <c r="K22" i="7"/>
  <c r="C22" i="7"/>
  <c r="N42" i="7" l="1"/>
  <c r="D35" i="7"/>
  <c r="D18" i="7"/>
  <c r="N18" i="7"/>
  <c r="M18" i="7"/>
  <c r="L18" i="7"/>
  <c r="K18" i="7"/>
  <c r="J18" i="7"/>
  <c r="I18" i="7"/>
  <c r="H18" i="7"/>
  <c r="G18" i="7"/>
  <c r="F18" i="7"/>
  <c r="E18" i="7"/>
  <c r="D13" i="7"/>
  <c r="C12" i="7"/>
  <c r="N13" i="7"/>
  <c r="M13" i="7"/>
  <c r="L13" i="7"/>
  <c r="K13" i="7"/>
  <c r="J13" i="7"/>
  <c r="I13" i="7"/>
  <c r="H13" i="7"/>
  <c r="G13" i="7"/>
  <c r="F13" i="7"/>
  <c r="E13" i="7"/>
  <c r="F17" i="7" l="1"/>
  <c r="D12" i="7" l="1"/>
  <c r="J12" i="7"/>
  <c r="E12" i="7"/>
  <c r="F12" i="7"/>
  <c r="D67" i="7" l="1"/>
  <c r="E67" i="7"/>
  <c r="M66" i="7" l="1"/>
  <c r="N66" i="7"/>
  <c r="K66" i="7"/>
  <c r="L66" i="7"/>
  <c r="C66" i="7"/>
  <c r="I66" i="7"/>
  <c r="H66" i="7"/>
  <c r="G66" i="7"/>
  <c r="F66" i="7"/>
  <c r="D66" i="7"/>
  <c r="D46" i="7"/>
  <c r="L38" i="7"/>
  <c r="J38" i="7"/>
  <c r="I38" i="7"/>
  <c r="H38" i="7"/>
  <c r="G38" i="7"/>
  <c r="F38" i="7"/>
  <c r="E38" i="7"/>
  <c r="D38" i="7"/>
  <c r="C38" i="7"/>
  <c r="J66" i="7" l="1"/>
  <c r="D47" i="7"/>
  <c r="M47" i="7"/>
  <c r="M46" i="7"/>
  <c r="L47" i="7"/>
  <c r="L46" i="7"/>
  <c r="K47" i="7"/>
  <c r="K46" i="7"/>
  <c r="J47" i="7"/>
  <c r="J46" i="7"/>
  <c r="H47" i="7"/>
  <c r="H46" i="7"/>
  <c r="G47" i="7"/>
  <c r="G46" i="7"/>
  <c r="F47" i="7"/>
  <c r="F46" i="7"/>
  <c r="C47" i="7"/>
  <c r="C46" i="7"/>
  <c r="C17" i="7"/>
  <c r="E66" i="7" l="1"/>
  <c r="F52" i="7" l="1"/>
  <c r="N32" i="7"/>
  <c r="N28" i="7"/>
  <c r="N27" i="7"/>
  <c r="N31" i="7"/>
  <c r="N51" i="7"/>
  <c r="N30" i="7"/>
  <c r="N33" i="7"/>
  <c r="N29" i="7"/>
  <c r="K27" i="7"/>
  <c r="K32" i="7"/>
  <c r="K28" i="7"/>
  <c r="K31" i="7"/>
  <c r="K34" i="7"/>
  <c r="K30" i="7"/>
  <c r="K33" i="7"/>
  <c r="K29" i="7"/>
  <c r="J28" i="7"/>
  <c r="J31" i="7"/>
  <c r="C56" i="7"/>
  <c r="D32" i="7"/>
  <c r="J32" i="7"/>
  <c r="F32" i="7"/>
  <c r="D28" i="7"/>
  <c r="F28" i="7"/>
  <c r="D27" i="7"/>
  <c r="J27" i="7"/>
  <c r="F27" i="7"/>
  <c r="D31" i="7"/>
  <c r="F31" i="7"/>
  <c r="D34" i="7"/>
  <c r="E34" i="7"/>
  <c r="J34" i="7"/>
  <c r="F34" i="7"/>
  <c r="D30" i="7"/>
  <c r="J30" i="7"/>
  <c r="F30" i="7"/>
  <c r="D33" i="7"/>
  <c r="E33" i="7"/>
  <c r="J33" i="7"/>
  <c r="F33" i="7"/>
  <c r="D29" i="7"/>
  <c r="J29" i="7"/>
  <c r="F29" i="7"/>
  <c r="H32" i="7"/>
  <c r="G32" i="7"/>
  <c r="C32" i="7"/>
  <c r="I32" i="7"/>
  <c r="I28" i="7"/>
  <c r="H28" i="7"/>
  <c r="G28" i="7"/>
  <c r="C28" i="7"/>
  <c r="I27" i="7"/>
  <c r="H27" i="7"/>
  <c r="G27" i="7"/>
  <c r="C27" i="7"/>
  <c r="H31" i="7"/>
  <c r="G31" i="7"/>
  <c r="C31" i="7"/>
  <c r="I31" i="7"/>
  <c r="N34" i="7"/>
  <c r="I34" i="7"/>
  <c r="H34" i="7"/>
  <c r="G34" i="7"/>
  <c r="C34" i="7"/>
  <c r="H30" i="7"/>
  <c r="G30" i="7"/>
  <c r="C30" i="7"/>
  <c r="H33" i="7"/>
  <c r="G33" i="7"/>
  <c r="C33" i="7"/>
  <c r="I33" i="7"/>
  <c r="I29" i="7"/>
  <c r="H29" i="7"/>
  <c r="G29" i="7"/>
  <c r="C29" i="7"/>
  <c r="M51" i="7"/>
  <c r="G56" i="7"/>
  <c r="M55" i="7"/>
  <c r="L54" i="7"/>
  <c r="K57" i="7"/>
  <c r="K53" i="7"/>
  <c r="C57" i="7"/>
  <c r="C53" i="7"/>
  <c r="G51" i="7"/>
  <c r="D55" i="7"/>
  <c r="E53" i="7"/>
  <c r="E57" i="7"/>
  <c r="F55" i="7"/>
  <c r="G53" i="7"/>
  <c r="G57" i="7"/>
  <c r="H54" i="7"/>
  <c r="I51" i="7"/>
  <c r="I55" i="7"/>
  <c r="K54" i="7"/>
  <c r="L51" i="7"/>
  <c r="L55" i="7"/>
  <c r="M52" i="7"/>
  <c r="M56" i="7"/>
  <c r="C52" i="7"/>
  <c r="D52" i="7"/>
  <c r="D56" i="7"/>
  <c r="E54" i="7"/>
  <c r="F56" i="7"/>
  <c r="G54" i="7"/>
  <c r="H51" i="7"/>
  <c r="H55" i="7"/>
  <c r="I52" i="7"/>
  <c r="I56" i="7"/>
  <c r="K51" i="7"/>
  <c r="K55" i="7"/>
  <c r="L52" i="7"/>
  <c r="L56" i="7"/>
  <c r="M53" i="7"/>
  <c r="M57" i="7"/>
  <c r="C51" i="7"/>
  <c r="C55" i="7"/>
  <c r="E51" i="7"/>
  <c r="D53" i="7"/>
  <c r="D57" i="7"/>
  <c r="E55" i="7"/>
  <c r="F53" i="7"/>
  <c r="F57" i="7"/>
  <c r="G55" i="7"/>
  <c r="H52" i="7"/>
  <c r="H56" i="7"/>
  <c r="I53" i="7"/>
  <c r="I57" i="7"/>
  <c r="K52" i="7"/>
  <c r="K56" i="7"/>
  <c r="L53" i="7"/>
  <c r="L57" i="7"/>
  <c r="M54" i="7"/>
  <c r="D51" i="7"/>
  <c r="C54" i="7"/>
  <c r="F51" i="7"/>
  <c r="D54" i="7"/>
  <c r="E52" i="7"/>
  <c r="E56" i="7"/>
  <c r="F54" i="7"/>
  <c r="G52" i="7"/>
  <c r="H53" i="7"/>
  <c r="H57" i="7"/>
  <c r="I54" i="7"/>
  <c r="J51" i="7"/>
  <c r="N17" i="7" l="1"/>
  <c r="E27" i="7" l="1"/>
  <c r="E28" i="7"/>
  <c r="E29" i="7"/>
  <c r="E30" i="7"/>
  <c r="E31" i="7"/>
  <c r="E32" i="7"/>
  <c r="K42" i="7"/>
  <c r="M17" i="7"/>
  <c r="L17" i="7"/>
  <c r="K17" i="7"/>
  <c r="M42" i="7"/>
  <c r="L42" i="7"/>
  <c r="J42" i="7"/>
  <c r="I42" i="7"/>
  <c r="H42" i="7"/>
  <c r="G42" i="7"/>
  <c r="F42" i="7"/>
  <c r="E42" i="7"/>
  <c r="D42" i="7"/>
  <c r="C42" i="7"/>
  <c r="K38" i="7"/>
  <c r="H17" i="7"/>
  <c r="G17" i="7"/>
  <c r="K12" i="7"/>
  <c r="I12" i="7"/>
  <c r="H12" i="7"/>
  <c r="G12" i="7"/>
  <c r="E47" i="7" l="1"/>
  <c r="E46" i="7"/>
  <c r="N38" i="7" l="1"/>
  <c r="I47" i="7" l="1"/>
  <c r="I46" i="7"/>
  <c r="N46" i="7" l="1"/>
  <c r="N47" i="7"/>
  <c r="N12" i="7"/>
  <c r="N59" i="7" l="1"/>
  <c r="I30" i="7"/>
  <c r="C84" i="7" l="1"/>
  <c r="C90" i="7"/>
  <c r="C91" i="7"/>
  <c r="C85" i="7"/>
  <c r="C87" i="7"/>
  <c r="C89" i="7"/>
  <c r="C86" i="7"/>
  <c r="C88" i="7"/>
</calcChain>
</file>

<file path=xl/sharedStrings.xml><?xml version="1.0" encoding="utf-8"?>
<sst xmlns="http://schemas.openxmlformats.org/spreadsheetml/2006/main" count="1737" uniqueCount="498">
  <si>
    <t>FECHA DE NACIMIENTO</t>
  </si>
  <si>
    <t>ASEGURADO</t>
  </si>
  <si>
    <t>Placa</t>
  </si>
  <si>
    <t>Tipo</t>
  </si>
  <si>
    <t>Marca</t>
  </si>
  <si>
    <t>Modelo</t>
  </si>
  <si>
    <t>Valor Asegurado</t>
  </si>
  <si>
    <t>VALOR ASEGURADO</t>
  </si>
  <si>
    <t>Vigencia</t>
  </si>
  <si>
    <t>Desde</t>
  </si>
  <si>
    <t>Hasta</t>
  </si>
  <si>
    <t xml:space="preserve">Prima Mensual </t>
  </si>
  <si>
    <t>Tasa Contratada</t>
  </si>
  <si>
    <t>Descripción del Inmueble Asegurado</t>
  </si>
  <si>
    <t>Vehículo Asegurado</t>
  </si>
  <si>
    <t>Observación</t>
  </si>
  <si>
    <t>Aseguradora</t>
  </si>
  <si>
    <t>No. Póliza</t>
  </si>
  <si>
    <t>VIGENCIA</t>
  </si>
  <si>
    <t>VIDA GRUPO DEUDORES _ VEHICULO</t>
  </si>
  <si>
    <t>NOMBRE</t>
  </si>
  <si>
    <t>IDENTIFICACION DEL FUNCIONARIO</t>
  </si>
  <si>
    <t>(Digite)</t>
  </si>
  <si>
    <t>Descripción del Vehículo</t>
  </si>
  <si>
    <t>Riesgo No.</t>
  </si>
  <si>
    <t>Vida Grupo Deudores _ Vivienda</t>
  </si>
  <si>
    <t>Vida Grupo Deudores_ Vehículo</t>
  </si>
  <si>
    <t>Incendio Todo Riesgo</t>
  </si>
  <si>
    <t>Automóviles Deudores</t>
  </si>
  <si>
    <t>Automóviles Empleados</t>
  </si>
  <si>
    <t>Asegurado</t>
  </si>
  <si>
    <t>SEGUROS CONTRATADOS POR BANCOLDEX _ COBROS A CARGO DE FUNCIONARIOS</t>
  </si>
  <si>
    <t>Vida Grupo Deudores_Libre Inversión</t>
  </si>
  <si>
    <t>Primas Totales a Cargo del Funcionario</t>
  </si>
  <si>
    <t>Vida Voluntario</t>
  </si>
  <si>
    <t>SEGUROS CONTRATADOS POR BANCOLDEX _ COBROS A CARGO DE LA ENTIDAD</t>
  </si>
  <si>
    <t>No</t>
  </si>
  <si>
    <t>PARENTESCO</t>
  </si>
  <si>
    <t>Asegurados</t>
  </si>
  <si>
    <t>Parentezco</t>
  </si>
  <si>
    <t>Plan</t>
  </si>
  <si>
    <t>Módulo</t>
  </si>
  <si>
    <t>Liquidación por Plan</t>
  </si>
  <si>
    <t>Prima Mensual</t>
  </si>
  <si>
    <t>Valor
Asegurado</t>
  </si>
  <si>
    <t>SALARIO</t>
  </si>
  <si>
    <t>OBSERVACIONES</t>
  </si>
  <si>
    <t>PATOLOGIA DECLARADA</t>
  </si>
  <si>
    <t>CONDICIONES DE INGRESO</t>
  </si>
  <si>
    <t>CIUDAD</t>
  </si>
  <si>
    <t>Bogotá</t>
  </si>
  <si>
    <t>DETALLE DE LA POLIZA</t>
  </si>
  <si>
    <t>AMPAROS</t>
  </si>
  <si>
    <t>Muerte por cualquier causa</t>
  </si>
  <si>
    <t>Incapacidad total y permanente</t>
  </si>
  <si>
    <t>Indemnización adicional por muerte accidental</t>
  </si>
  <si>
    <t>Beneficios por desmembración</t>
  </si>
  <si>
    <t>Enfermedades Graves</t>
  </si>
  <si>
    <t>Auxilio Funerario</t>
  </si>
  <si>
    <t>Gastos de Traslado</t>
  </si>
  <si>
    <t>Auxilio educativo por muerte e incapacidad total y permanente</t>
  </si>
  <si>
    <t>28 veces el sueldo</t>
  </si>
  <si>
    <t>50% amparo Básico</t>
  </si>
  <si>
    <t>Renta mensual por Canasta Familiar</t>
  </si>
  <si>
    <t>$600.000 /mes/12 meses</t>
  </si>
  <si>
    <t>Auxilio de Maternidad</t>
  </si>
  <si>
    <t>Renta diaria por Hospitalización y cirugía</t>
  </si>
  <si>
    <t>Renta diaria post hospitalaria</t>
  </si>
  <si>
    <t>Renta mensual para gastos locativos</t>
  </si>
  <si>
    <t>Auxlio por vuelo comercial</t>
  </si>
  <si>
    <t>Auxilio de Repatriación</t>
  </si>
  <si>
    <t>Traslado del Cuerpo</t>
  </si>
  <si>
    <t>20% V/A (Bás) Max. $5,000,000</t>
  </si>
  <si>
    <t>$400,000 diarios</t>
  </si>
  <si>
    <t>$100.000 diarios</t>
  </si>
  <si>
    <t>$200,000/Mes/12meses</t>
  </si>
  <si>
    <t>5 Salarios Max $30,000,000</t>
  </si>
  <si>
    <t xml:space="preserve">Repatriación </t>
  </si>
  <si>
    <t>20% VA Min $6,000,000
Max. $25,000,000</t>
  </si>
  <si>
    <t>Aux ilio de $1,500,000</t>
  </si>
  <si>
    <t>REPORTE DE NOVEDADES (FECHA)</t>
  </si>
  <si>
    <t>EDAD
(Años)</t>
  </si>
  <si>
    <t>Máximo Valor Asegurado Individual $1,200,000,000
Minimo Valor Asegurado Individual $       70,000,000</t>
  </si>
  <si>
    <t>CONSULTA POLIZAS DE SEGUROS - BANCOLDEX</t>
  </si>
  <si>
    <t>Vida Grupo Deudores_COOPERCAFE</t>
  </si>
  <si>
    <t>Descripción Bien Asegurado</t>
  </si>
  <si>
    <t>APELLIDOS</t>
  </si>
  <si>
    <t>DESCRIPCION DE LA POLIZA</t>
  </si>
  <si>
    <t>PRIMA TOTAL</t>
  </si>
  <si>
    <t># Asegurados
Grupo Básico</t>
  </si>
  <si>
    <t># Asegurados
Personas Adicionales</t>
  </si>
  <si>
    <t># Asegurados
 Servicio Domestico</t>
  </si>
  <si>
    <t>Valor de la Prima para cada Grupo</t>
  </si>
  <si>
    <t>Cali</t>
  </si>
  <si>
    <t>Barranquilla</t>
  </si>
  <si>
    <t>Medellín</t>
  </si>
  <si>
    <t>Pereira</t>
  </si>
  <si>
    <t>Manizales</t>
  </si>
  <si>
    <t>Armenia</t>
  </si>
  <si>
    <t>DIRECCION INMUEBLE HIPOTECADO</t>
  </si>
  <si>
    <t>Casa 33, manzana 43, Urbanización Villa del Prado III (Pereira - Risaralda)</t>
  </si>
  <si>
    <t>Calle 24 C No. 69 - 59, Apto 403, Int 1</t>
  </si>
  <si>
    <t>Calle 114 D No. 147 A - 11 _201</t>
  </si>
  <si>
    <t>Calle 87 No. 103 C - 50, Casa 84, Garaje 67 - Conjunto Residencial Bolivia Oriental Etapa 3</t>
  </si>
  <si>
    <t>Calle 110 C No. 4-80 _ 106</t>
  </si>
  <si>
    <t>Carrera 26 No. 20 - 13 (Pasto)</t>
  </si>
  <si>
    <t>Calle 147 No. 99 - 52, Apto. 401, Garaje 26, Bloque 4</t>
  </si>
  <si>
    <t>Calle 136 No. 17 A - 34, Casa 1, Garaje 1</t>
  </si>
  <si>
    <t>Carrera 19 No. 85 - 85/93, Garaje 303, Depósito 28. Edificio Camino Santiago</t>
  </si>
  <si>
    <t>Calle 66 C No. 61 - 01, Apto. 603, Garaje 15</t>
  </si>
  <si>
    <t>Calle 192 No. 11 A - 51, Apto 601, Int 6, Torre 1, Etapa I, Garaje 126</t>
  </si>
  <si>
    <t>Calle 32 C Bis Sur No. 12-41 Este</t>
  </si>
  <si>
    <t>Cra. 56 No 15 A 52 Interior 3 Apto 403 Urbanizacion Mazuren</t>
  </si>
  <si>
    <t>Calle 15 A No. 79-153, casa 141, Lote 12, Manzana C (Medellín)</t>
  </si>
  <si>
    <t>Calle 13 No. 78 D - 13, Apto. 502, Torre 2</t>
  </si>
  <si>
    <t>Calle 4 C Bis No. 53 F - 16</t>
  </si>
  <si>
    <t>Carrera 90 Bis No. 73 A - 20, Casa Interior 15</t>
  </si>
  <si>
    <t>Carrera 71 No. 2 A - 66, Int 1, Apto 304</t>
  </si>
  <si>
    <t>Carrera 15 B No. 6 - 14, Manzana C, Barrio Villa del Sol (Mariquita - Tolima)</t>
  </si>
  <si>
    <t>Calle 67 No. 24 - 29, Apto 301, Edificio Vargas Propiedad Horizontal</t>
  </si>
  <si>
    <t>Calle 25 No. 1 – 275 con Carrera 2, Quintas de Toscana, Casa 6, Multifamiliar 4 (Villavicencio)</t>
  </si>
  <si>
    <t>Calle 9 No. 35 - 12, Apto 304, Garaje 2, Conjunto Multifamiliar Las Mercedes (La Mesa-Cundinamarca)</t>
  </si>
  <si>
    <t>Calle 79 A No. 66 - 69, Apto. 316, Int. 8, parqueadero 19</t>
  </si>
  <si>
    <t>Calle 127 A  No. 70 G 07 ,Apto</t>
  </si>
  <si>
    <t>Hacienda El Castillo Casa N° 10 Conjunto Portales Del Castillo I Etapa Municipio de Jamundí (Valle)</t>
  </si>
  <si>
    <t>Carrera 89 No. 19 A - 49, Apto 104, Interior 15, Garaje 270</t>
  </si>
  <si>
    <t>Calle 49 Sur No. 87-06, Apto 551, Int. 13, Conjunto Plazuela de Santa Ana</t>
  </si>
  <si>
    <t>Calle 8a Sur No. 8 A - 51, Apto. 603, Int. 3, garaje 44</t>
  </si>
  <si>
    <t>Carrera 59 No. 86 - 29, Barrio Río Mar (Barranquilla)</t>
  </si>
  <si>
    <t>Calle 122 No. 19 - 59, Apto 205, Parqueaderos 38 y 39</t>
  </si>
  <si>
    <t>Calle 145 A No. 19-29, Apto 602</t>
  </si>
  <si>
    <t>Calle 121 No. 48 - 83, Apto 203, Garaje 1</t>
  </si>
  <si>
    <t>Altos de Yerbabuena Capri, Km 1 Vía a Yerbabuena, Chía</t>
  </si>
  <si>
    <t>Carrera 71 No. 78 A 03 Bosques de San Pablo (Medellin)</t>
  </si>
  <si>
    <t>Calle 104 No 14 A 80 Apto. 304 Edificio Mediterraneo</t>
  </si>
  <si>
    <t>Calle 7 No. 92 A - 51, Casa 145</t>
  </si>
  <si>
    <t>Calle 160 No. 64 - 11, Apto 804, Torre 4</t>
  </si>
  <si>
    <t>Calle 63 D No. 70 D - 83</t>
  </si>
  <si>
    <t>Calle  95 No 17-37. Garaje 09 Deposito 401.Apto. 401</t>
  </si>
  <si>
    <t>Casa, Carrera 28 No. 15 - 13 Sur La Fragua</t>
  </si>
  <si>
    <t>Cra. 17 No 136-53 Torre B Apto 503</t>
  </si>
  <si>
    <t>Calle 169 A No. 55 A - 49, Apto 706</t>
  </si>
  <si>
    <t>Cra. 49 No 93-94. Garaje 45. Apto. 402, Interior 8</t>
  </si>
  <si>
    <t>Carrera 21 No. 122 - 57, Apto 407, Garaje 12</t>
  </si>
  <si>
    <t>Calle 160 No 60-07 Parqueadero 215. Apartamento. 801 Torre 2</t>
  </si>
  <si>
    <t>Calle 188 No. 55 A - 62, Casa 118</t>
  </si>
  <si>
    <t>Carrera 56 No. 169 A - 65, Apto 606, Garaje 40, Depósito 21</t>
  </si>
  <si>
    <t>Carrera 63 No. 94 A - 66 casa</t>
  </si>
  <si>
    <t>Transversal 43 B No. 5 D - 31</t>
  </si>
  <si>
    <t>Calle 127 C No 6 A 55. Garaje 150 Deposito 17, Apto.707</t>
  </si>
  <si>
    <t>Carrera 49 No. 106 - 13, Apto. 201, Torre de San Marcos</t>
  </si>
  <si>
    <t xml:space="preserve"> Carrera 93D No 6A-15, Apto 401, Int 8 Ciudad Tintal II                      </t>
  </si>
  <si>
    <t>Casa 64 Condominio Campestre Kalamary - Chía</t>
  </si>
  <si>
    <t>Avenida Carrera 58 No. 134 - 57, Etapa 3, Interior 1, Apto 404, Garaje 77</t>
  </si>
  <si>
    <t>Calle 188 No. 55 A - 62, Casa 166, Garaje 126</t>
  </si>
  <si>
    <t>Calle 140 No.11-74, Apto 402</t>
  </si>
  <si>
    <t>Calle 18 B Sur No. 38 - 54, Apto 1701</t>
  </si>
  <si>
    <t>Calle 21 No. 91 - 50, Bloque D, Apto 517, Garaje D 517</t>
  </si>
  <si>
    <t>Carrera 17 A No. 175 - 82, Apto 903, Torre 3, Conjunto Mirador de la Alameda</t>
  </si>
  <si>
    <t>Calle 31 No. 13 A - 51, Apto 1504, Torre 1</t>
  </si>
  <si>
    <t>Carrera 7 A No. 127 C - 63, Apto 106, Conjunto Residencial Valbella Bella Suiza</t>
  </si>
  <si>
    <t>Calle 147 No. 94 - 17 Apto 535, Int. 18,  Garaje 10 Conunto Prados de Suba</t>
  </si>
  <si>
    <t>Calle 122 No. 47 - 05 Apto 403, Garaje 15, Depósito 12 Edificio NOVO 122</t>
  </si>
  <si>
    <t>Calle 88 No. 75 B - 05</t>
  </si>
  <si>
    <t>Bucaramanga</t>
  </si>
  <si>
    <t>Calle 76 B No. 102-25, Barrio Molinos del Viento</t>
  </si>
  <si>
    <t>Unidad 307, Conjunto Residencial Camino de Pueblo Viejo, Agrupación 3 (Cota)</t>
  </si>
  <si>
    <t>Calle 147 No. 94 - 17, Int 1, Apto 422, Garaje 112, Agrupación Prados de Suba, Etapa 4</t>
  </si>
  <si>
    <t>Carrera 64 B No. 85 - 62, Apto 6 B</t>
  </si>
  <si>
    <t>Avenida Carrera 97 No. 22 A - 45</t>
  </si>
  <si>
    <t>Carrera 54 No. 106 - 46, Apto 504, Garaje 19, Depósito 11</t>
  </si>
  <si>
    <t>Calle 116 No. 14 A - 64, Apto 501, Edificio Montecarlo</t>
  </si>
  <si>
    <t>Carrera 65 No. 64 - 7, Apto 805, Garaje 18</t>
  </si>
  <si>
    <t>Calle 48 F Sur No. 40 - 55, Apto 1002, Garaje 6599, Edificio Puerto Luna</t>
  </si>
  <si>
    <t>Vereda Caney Alto- Finca Santa Maria.  Municipio Restrepo Meta</t>
  </si>
  <si>
    <t>Calle 51 No. 3 - 98, Garaje 5, Apto 302</t>
  </si>
  <si>
    <t>Calle 129 No. 7 - 29, Apto 302, Garaje 9 Y Deposito 16, Edificio Rincón de Bella Suiza</t>
  </si>
  <si>
    <t>Calle 139 No. 7 C - 51, Apto 306, Garajes 62 y 73, Depósitos 42 y 53 Edificio Macerata 139</t>
  </si>
  <si>
    <t>Carrera 94 C No. 146 A - 50, Interior 10, Apto 501 y Garaje 109 Agrupación Guacari</t>
  </si>
  <si>
    <t xml:space="preserve">Calle 101 No. 70 D - 21 Urbanización Nuevo Monterrey          </t>
  </si>
  <si>
    <t>Avenida Carrera 20 No. 88-90, Apto 303, Garaje 27, Depósito No.2</t>
  </si>
  <si>
    <t>Calle 161 No. 54-18, Torre 1, Apto 504</t>
  </si>
  <si>
    <t>Conjunto Residencial Urbanización Los Molinos Villa del Pilar 1- casa 77</t>
  </si>
  <si>
    <t>Carrera 19 C # 86 A – 11, Apto. 603</t>
  </si>
  <si>
    <t>Calle 150 A Nº99-30 Interior 1 Apto 704; Parqueadero 80 , Conjunto Residencial Nápoles</t>
  </si>
  <si>
    <t xml:space="preserve">Calle 135 No. 17-55, Apto 201, Garaje 94 y 95, Depósito 201 </t>
  </si>
  <si>
    <t>VALOR COMERCIAL</t>
  </si>
  <si>
    <t>Carrera 72 B No. 22 D - 30, Apartamento 604, Garaje 237, Torre 3</t>
  </si>
  <si>
    <t>Calle 79 A No.  66 - 69, Interior 8, Apto. 316, Garaje 19</t>
  </si>
  <si>
    <t>Pereira - Risaralda</t>
  </si>
  <si>
    <t>Calle 6 Sur No. 29 - 02, Apto 302</t>
  </si>
  <si>
    <t>Carrera 2 No. 70 - 19, Apto. 201, Garajes 16 y 17, Deposito 201</t>
  </si>
  <si>
    <t>Calle 45 No. 45 - 16, Int 1, Apto 204, Parqueadero No. 30</t>
  </si>
  <si>
    <t>Calle 95 No. 8 A -35, Apto 205, Garajes: 10/28 y 28 A, Depósito: 14</t>
  </si>
  <si>
    <t>Calle 10 No. 32 - 55, Apartamento 403, Interior 11 (Zipaquirá)</t>
  </si>
  <si>
    <t>Zipaquirá - Cundinamarca</t>
  </si>
  <si>
    <t xml:space="preserve">Carrera 24 C No. 6- 111 Oeste, Apto 602, Edificio Miraflores del Valle </t>
  </si>
  <si>
    <t>Cali - Valle del Cauca</t>
  </si>
  <si>
    <t>Calle 103 No. 14 - 14, Apto. 802, Torre B C.R. Alameda del Viento Bucaramanga</t>
  </si>
  <si>
    <t>Carrera 108 No. 82-50 _502</t>
  </si>
  <si>
    <t>Calle Carrera 63 No. 22 - 45</t>
  </si>
  <si>
    <t>Pasto - Nariño</t>
  </si>
  <si>
    <t>Avenida carrera 1 No. 84 A - 35, Apartamento 302</t>
  </si>
  <si>
    <t>Unidad de Vivienda CS 52, Etapa 4, C.R. Vizcaya, Vereda Rozo, Mcpio COTA</t>
  </si>
  <si>
    <t>Cota - Cundinamarca</t>
  </si>
  <si>
    <t>Carrera 85 B No. 25 B - 29, casa</t>
  </si>
  <si>
    <t>Calle 64 C Bis No. 85-91</t>
  </si>
  <si>
    <t>Chía - Cundinamarca</t>
  </si>
  <si>
    <t>Diagonal 25 F No. 7-38 _ 101</t>
  </si>
  <si>
    <t>Medellín - Antioquia</t>
  </si>
  <si>
    <t>Calle 61 F No. 26 - 10, Casa - El Campín-</t>
  </si>
  <si>
    <t>Calle 152 No. 56 - 75, Interior 4, Apto. 403, Garaje 39</t>
  </si>
  <si>
    <t>Mariquita - Tolima</t>
  </si>
  <si>
    <t>Calle 118 No. 19 A - 59, Apto 303, Edificio 118, City Flats Bogotá, Garajes 9 y 36, Deposito 12</t>
  </si>
  <si>
    <t>Villavicencio - Meta</t>
  </si>
  <si>
    <t>La Mesa - Cundinamarca</t>
  </si>
  <si>
    <t>Calle 22B No, 56 -  63, Apto. 303, Int. 4, Garaje 105</t>
  </si>
  <si>
    <t xml:space="preserve">Calle 191 No 11 A 91. Garaje 29 y 30, Casa 82 Etapa 2 </t>
  </si>
  <si>
    <t>Calle 152 A No. 48 - 25, Casa 31, G-24, Depósito 69, Etapa II</t>
  </si>
  <si>
    <t>Carrera 58 C No. 134 A - 51, Int. 11, Apto. 302, Parqueaderos 66 y 67</t>
  </si>
  <si>
    <t>Transversal 76 No. 130 - 48, Apto. 602, Interir 1, Garaje 8</t>
  </si>
  <si>
    <t>Avenida Carrera 40 No. 25 - 79, Apto. 304</t>
  </si>
  <si>
    <t>Carrera 112  Bis No. 81 - 51, Apto. 202, Int. 1</t>
  </si>
  <si>
    <t>Calle 62 No. 38B-68 Apto. 401</t>
  </si>
  <si>
    <t>Jamundí - Valle del Cauca</t>
  </si>
  <si>
    <t>Carrera 66 No. 22 B - 42/*48, Apto. 904, Int. 3, Garaje 66, Int.3</t>
  </si>
  <si>
    <t>Barranquilla- Atlántico</t>
  </si>
  <si>
    <t xml:space="preserve">Calle 1 S No. 5 A - 179, </t>
  </si>
  <si>
    <t>Calle 60  A No. 3 - 31, Apto 501, Garaje 3, Edificio ARFE IV</t>
  </si>
  <si>
    <t>Transversal 79 No 101 B 15. Apartamento 304, Interior 10</t>
  </si>
  <si>
    <t xml:space="preserve">Calle 145 No. 15 - 22 Apto 303 </t>
  </si>
  <si>
    <t>Chia - Cundinamarca</t>
  </si>
  <si>
    <t>Condominio Residencial Sol de Primavera, &gt;Casa 28, Municipio de Jamundi - Valle</t>
  </si>
  <si>
    <t>Avenida calle 116 No. 12 - 20, Garaje 105 y depósito 105, Apto. 105</t>
  </si>
  <si>
    <t>Transversal 13 D No. 166 - 50 , Torre 1, Apartamento 1504</t>
  </si>
  <si>
    <t>Carrera 73 No. 40 C- 40 Sur, Apto. 602, Int. 2</t>
  </si>
  <si>
    <t>Calle 3 Sur No. 70 - 81, Garaje 192, Interior 150</t>
  </si>
  <si>
    <t>Carrera 87 B No.  19 - A - 66, Apto. 702, Interior 10, garaje 398</t>
  </si>
  <si>
    <t>Carrera 17 A No. 175 - 82, Apto. 1404, Torre 3,  Etapa 3, Garaje 328 y Depósito 28</t>
  </si>
  <si>
    <t>Carrera 14 No. 108 - 25, Apto 302, Parqueadero 13, Deposito 302</t>
  </si>
  <si>
    <t>Calle 18 A No. 78 - 35, Apto 1219, Torre 5, Garaje 15</t>
  </si>
  <si>
    <t>Carrera 53 C No. 134 - 70,  Apto. 402, G. 104</t>
  </si>
  <si>
    <t xml:space="preserve">Calle 161 No. 54-18,Apto.302, T.2, Grj:55, Dep:34 </t>
  </si>
  <si>
    <t>Calle 151 No. 111 A - 82,  Casa 130</t>
  </si>
  <si>
    <t>Calle 98 No. 68-63. Apto 1003. Torre 4. Garaje 14 y  15. Depósito D 68</t>
  </si>
  <si>
    <t>Carrera 17 No. 152 - 13, Apto 404, Garaje 15, Edificio Kambará</t>
  </si>
  <si>
    <t>Diagonal 3 No. 71 B - 25, Toorre1, Apto. 304</t>
  </si>
  <si>
    <t>Calle 26 A No. 13 - 79, Apartamento 1809, Garaje 35, depósito 41, Torre A</t>
  </si>
  <si>
    <t>Calle 142 No. 97 - 16, Apto. 111, Bloque F y Garaje 33</t>
  </si>
  <si>
    <t>Carrera 87 D No. 48 - 03 Sur Casa 298</t>
  </si>
  <si>
    <t>Bogotá, D.C</t>
  </si>
  <si>
    <t>Bogotá, D.C.</t>
  </si>
  <si>
    <t>Restrepo, Meta</t>
  </si>
  <si>
    <t>Dosquebradas - Risaralda</t>
  </si>
  <si>
    <t>Transversal 58 A No.  103 B - 27 Casa 5.</t>
  </si>
  <si>
    <t>Calle 83 No. 96-51, apartamento # 309, interior 4,  Etapa II de la Súper Manzana 7, que hace parte de la Agrupación Urbanización Multicentro Bochica III.</t>
  </si>
  <si>
    <t>Calle 97 No. 70 C - 95, Apto 202, Interior 2, Conjunto Residencial Portal de Pontevedra V</t>
  </si>
  <si>
    <t>Calle 72 C No. 5 N - 45, Apto 202, Torre 34, Unidad Residencial Matecaña</t>
  </si>
  <si>
    <t>Calle 61 No. 2 - 56, Apto 306, Edificio El Pedral</t>
  </si>
  <si>
    <t>Calle 64 No. 3 - 44, Apto 303</t>
  </si>
  <si>
    <t>Calle 11 A No. 79 A - 28, Torre 1, Apto 101</t>
  </si>
  <si>
    <t>Carrera 78 No. 0 -60, Interior 23, Apto 201</t>
  </si>
  <si>
    <t xml:space="preserve">Calle21 C # 1-60 este, Torre 3 Apartamento 403 </t>
  </si>
  <si>
    <t>Madrid, Cundinamarca</t>
  </si>
  <si>
    <t>Calle 137 No. 19 A 42 Apto 303. Edificio Mazal</t>
  </si>
  <si>
    <t>Carrera 20 No. 142-22, apartamento 501</t>
  </si>
  <si>
    <t>CLASE</t>
  </si>
  <si>
    <t>MARCA</t>
  </si>
  <si>
    <t>PLACA</t>
  </si>
  <si>
    <t>MODELO</t>
  </si>
  <si>
    <t>SERVICIO</t>
  </si>
  <si>
    <t>COLOR</t>
  </si>
  <si>
    <t>CHASIS</t>
  </si>
  <si>
    <t>MOTOR</t>
  </si>
  <si>
    <t>VALOR ACCESORIOS</t>
  </si>
  <si>
    <t>TOTAL VALOR ASEGURADO INCLUIDO ACCESORIOS</t>
  </si>
  <si>
    <t>AUTOMOVIL</t>
  </si>
  <si>
    <t>KIA</t>
  </si>
  <si>
    <t>RIZ417</t>
  </si>
  <si>
    <t>PARTICULAR</t>
  </si>
  <si>
    <t>PLATA</t>
  </si>
  <si>
    <t>KNADH411AC682999943</t>
  </si>
  <si>
    <t>G4EEBH456768</t>
  </si>
  <si>
    <t>CHEVROLET</t>
  </si>
  <si>
    <t>RKK959</t>
  </si>
  <si>
    <t>GRIS</t>
  </si>
  <si>
    <t>9GATJ6365CB018526</t>
  </si>
  <si>
    <t>F16D39113191</t>
  </si>
  <si>
    <t>CAMPERO</t>
  </si>
  <si>
    <t>SUBARU</t>
  </si>
  <si>
    <t>DCV555</t>
  </si>
  <si>
    <t>HYUNDAI</t>
  </si>
  <si>
    <t>CAMIONETA PASAJ.</t>
  </si>
  <si>
    <t>RENAULT</t>
  </si>
  <si>
    <t>SSANGYONG</t>
  </si>
  <si>
    <t>DDN509</t>
  </si>
  <si>
    <t>MKU310</t>
  </si>
  <si>
    <t>NISSAN</t>
  </si>
  <si>
    <t>MKY328</t>
  </si>
  <si>
    <t>MPU790</t>
  </si>
  <si>
    <t>MINI</t>
  </si>
  <si>
    <t>NCY320</t>
  </si>
  <si>
    <t>AZUL LIGHTNING METAL</t>
  </si>
  <si>
    <t>WMWSU3102DT449632</t>
  </si>
  <si>
    <t>A088J317</t>
  </si>
  <si>
    <t>PEUGEOT</t>
  </si>
  <si>
    <t>RGT283</t>
  </si>
  <si>
    <t>8AD2MN6ARBG051127</t>
  </si>
  <si>
    <t>N6APSA10DBUZ0004946</t>
  </si>
  <si>
    <t>NEQ968</t>
  </si>
  <si>
    <t>NEGRO EBONY</t>
  </si>
  <si>
    <t>9GATJ6363DB022012</t>
  </si>
  <si>
    <t>F16D32024772</t>
  </si>
  <si>
    <t>HBK875</t>
  </si>
  <si>
    <t>3N1CC1AC9ZK251370</t>
  </si>
  <si>
    <t>HR16763709G</t>
  </si>
  <si>
    <t>HCU475</t>
  </si>
  <si>
    <t>BLANCO ARTICO</t>
  </si>
  <si>
    <t>3GNAL7EK7ES500338</t>
  </si>
  <si>
    <t>CES500338</t>
  </si>
  <si>
    <t>HEO235</t>
  </si>
  <si>
    <t>GRIS COMETA</t>
  </si>
  <si>
    <t>9FBBSRADDEM042160</t>
  </si>
  <si>
    <t>F710Q136315</t>
  </si>
  <si>
    <t>HDK747</t>
  </si>
  <si>
    <t>9FBHS2J66EM000003</t>
  </si>
  <si>
    <t>A402C024321</t>
  </si>
  <si>
    <t>HHY968</t>
  </si>
  <si>
    <t>3GNAL7EK8ES500638</t>
  </si>
  <si>
    <t>CES500638</t>
  </si>
  <si>
    <t>TOYOTA</t>
  </si>
  <si>
    <t>NEL459</t>
  </si>
  <si>
    <t>SIN COLOR</t>
  </si>
  <si>
    <t>8AJZX69G7D9201092</t>
  </si>
  <si>
    <t>2TR7299310</t>
  </si>
  <si>
    <t>FORD</t>
  </si>
  <si>
    <t>NCT124</t>
  </si>
  <si>
    <t>3FADP4BJ6DM128858</t>
  </si>
  <si>
    <t>DM128858</t>
  </si>
  <si>
    <t>HSM514</t>
  </si>
  <si>
    <t>NEGRO GALA</t>
  </si>
  <si>
    <t>EM144235/3FADP4FJEM14423</t>
  </si>
  <si>
    <t>EM144235</t>
  </si>
  <si>
    <t>KIK396</t>
  </si>
  <si>
    <t>GRIS BEIGE</t>
  </si>
  <si>
    <t>9FBBSRALSCM012851</t>
  </si>
  <si>
    <t>A690Q098137</t>
  </si>
  <si>
    <t>HYL966</t>
  </si>
  <si>
    <t>GRIS ESTRELLA</t>
  </si>
  <si>
    <t>9FBLSRACDEM974554</t>
  </si>
  <si>
    <t>A710UK77347</t>
  </si>
  <si>
    <t>VOLKSWAGEN</t>
  </si>
  <si>
    <t>HTU241</t>
  </si>
  <si>
    <t>BLANCO CRISTAL</t>
  </si>
  <si>
    <t>9BWAB05U4ET087844</t>
  </si>
  <si>
    <t>CFZM73392</t>
  </si>
  <si>
    <t>ZZT018</t>
  </si>
  <si>
    <t>GRIS CYBER</t>
  </si>
  <si>
    <t>KPTS0A16SEP176726</t>
  </si>
  <si>
    <t>FIAT</t>
  </si>
  <si>
    <t>HJS916</t>
  </si>
  <si>
    <t>3C3BFFBR7ET681357</t>
  </si>
  <si>
    <t>ET681357</t>
  </si>
  <si>
    <t>IDZ513</t>
  </si>
  <si>
    <t>GRIS PLATINO ME</t>
  </si>
  <si>
    <t>3VWBV49M3FM011469</t>
  </si>
  <si>
    <t>CBP624536</t>
  </si>
  <si>
    <t>MERCEDES BENZ</t>
  </si>
  <si>
    <t>HVK548</t>
  </si>
  <si>
    <t>GRIS MONTAÑA METALIZ</t>
  </si>
  <si>
    <t>WDD2462431J242166</t>
  </si>
  <si>
    <t>UCK581</t>
  </si>
  <si>
    <t>GRIS DARK METAL</t>
  </si>
  <si>
    <t>JF1SJ9LC5EG128780</t>
  </si>
  <si>
    <t>MAZDA</t>
  </si>
  <si>
    <t>SUZUKI</t>
  </si>
  <si>
    <t>IJK075</t>
  </si>
  <si>
    <t>MA3FC42S1GA184678</t>
  </si>
  <si>
    <t>K10BN1837354</t>
  </si>
  <si>
    <t>IIZ052</t>
  </si>
  <si>
    <t>NEGRO EBANO</t>
  </si>
  <si>
    <t>9FBZB55F7F8504783</t>
  </si>
  <si>
    <t>AOJAF8504783</t>
  </si>
  <si>
    <t>ALFA ROMEO</t>
  </si>
  <si>
    <t>NDY982</t>
  </si>
  <si>
    <t>NEGRO</t>
  </si>
  <si>
    <t>ZAR939000C7283183</t>
  </si>
  <si>
    <t>IMU515</t>
  </si>
  <si>
    <t>9FB5SRC9GGM139544</t>
  </si>
  <si>
    <t>2842Q027548</t>
  </si>
  <si>
    <t>BEIGE</t>
  </si>
  <si>
    <t>KNADN512AD6750806</t>
  </si>
  <si>
    <t>G4FACS255919</t>
  </si>
  <si>
    <t>TOTAL VALOR ASEGURADO CON ACCESORIOS</t>
  </si>
  <si>
    <t>BSZ864</t>
  </si>
  <si>
    <t>8AD2AKFWU6G006026</t>
  </si>
  <si>
    <t>KFWPSA10FSS15185890</t>
  </si>
  <si>
    <t>BZD907</t>
  </si>
  <si>
    <t>9FBBB0L117M909664</t>
  </si>
  <si>
    <t>A712Q033173</t>
  </si>
  <si>
    <t>RJS559</t>
  </si>
  <si>
    <t>9GATJ5865CB011739</t>
  </si>
  <si>
    <t>F16D38820351</t>
  </si>
  <si>
    <t>BMD711</t>
  </si>
  <si>
    <t>9FBLA040E2L791485</t>
  </si>
  <si>
    <t>A700D620876</t>
  </si>
  <si>
    <t>BMP484</t>
  </si>
  <si>
    <t>VF1JA110526402195</t>
  </si>
  <si>
    <t>D676383</t>
  </si>
  <si>
    <t>BZI531</t>
  </si>
  <si>
    <t>9FBLSRAGB7M204200.</t>
  </si>
  <si>
    <t>A710UC31151</t>
  </si>
  <si>
    <t>BLW027</t>
  </si>
  <si>
    <t>9FCGF45SX20104415</t>
  </si>
  <si>
    <t>FS988398</t>
  </si>
  <si>
    <t>CVR194</t>
  </si>
  <si>
    <t>8AD2CKFWUG070678</t>
  </si>
  <si>
    <t>KFWPSA10DBS10030765</t>
  </si>
  <si>
    <t>DODGE</t>
  </si>
  <si>
    <t>RGP652</t>
  </si>
  <si>
    <t>3D4PG4FB9AT280857</t>
  </si>
  <si>
    <t>*</t>
  </si>
  <si>
    <t>RIL806</t>
  </si>
  <si>
    <t>9FBLSRADBBM038675</t>
  </si>
  <si>
    <t>F710Q067417</t>
  </si>
  <si>
    <t>RNO039</t>
  </si>
  <si>
    <t>1FMCU9DG2CKA53476</t>
  </si>
  <si>
    <t>CKA53476</t>
  </si>
  <si>
    <t>BSD668</t>
  </si>
  <si>
    <t>9FBLBOLCF6M113929</t>
  </si>
  <si>
    <t>A712Q015068</t>
  </si>
  <si>
    <t>BZZ835</t>
  </si>
  <si>
    <t>KMHBT51DP7U645063</t>
  </si>
  <si>
    <t>G4EE6626070</t>
  </si>
  <si>
    <t>BWA694</t>
  </si>
  <si>
    <t>KNAJE552877224231</t>
  </si>
  <si>
    <t>GAGC6524656</t>
  </si>
  <si>
    <t>BYJ355</t>
  </si>
  <si>
    <t>1FMYU93197KA59168</t>
  </si>
  <si>
    <t>7KA59168AJ</t>
  </si>
  <si>
    <t>RGP332</t>
  </si>
  <si>
    <t>8AD2MKFWUBG035318</t>
  </si>
  <si>
    <t>KFWPSA10DBSR0041092</t>
  </si>
  <si>
    <t>NBZ103</t>
  </si>
  <si>
    <t>3G1J85DC6DS502727</t>
  </si>
  <si>
    <t>1DS502727</t>
  </si>
  <si>
    <t>BOL664</t>
  </si>
  <si>
    <t>9FBLB0LCF4M400505</t>
  </si>
  <si>
    <t>A712D111871</t>
  </si>
  <si>
    <t>RJW070</t>
  </si>
  <si>
    <t>3GNAL7ECXBS640288</t>
  </si>
  <si>
    <t>CBS640288</t>
  </si>
  <si>
    <t>MBR096</t>
  </si>
  <si>
    <t>3C4PDCAB1CT175143</t>
  </si>
  <si>
    <t>HVO059</t>
  </si>
  <si>
    <t>3G1J85DC4ES600124</t>
  </si>
  <si>
    <t>1ES600124</t>
  </si>
  <si>
    <t>….</t>
  </si>
  <si>
    <t>EDAD</t>
  </si>
  <si>
    <t>Carrera 4 No. 13 - 6, Apto 706</t>
  </si>
  <si>
    <t>Carrera 70 No. 1 C - 70, Apto 305</t>
  </si>
  <si>
    <t>Santa Marta - Magdalena</t>
  </si>
  <si>
    <t>…..</t>
  </si>
  <si>
    <t>……..</t>
  </si>
  <si>
    <t>Avenida Caracas No. 12 - 53 Sur</t>
  </si>
  <si>
    <t>Calle 166 No. 9 - 45, Apto 904</t>
  </si>
  <si>
    <t>IRP816</t>
  </si>
  <si>
    <t>Transversal 85 G No. 24 C - 56, Apto 210</t>
  </si>
  <si>
    <t>Calle 74 A No. 66 - 72, Apto 502</t>
  </si>
  <si>
    <t>RCR299</t>
  </si>
  <si>
    <t>RCU754</t>
  </si>
  <si>
    <t>HJL571</t>
  </si>
  <si>
    <t>Calle 95 No. 71 – 95, Apto 303, Torre B 5</t>
  </si>
  <si>
    <t>RGP285</t>
  </si>
  <si>
    <t>8AD2MN6AUBG044170</t>
  </si>
  <si>
    <t>N6APSA10DBUY0022544</t>
  </si>
  <si>
    <t>Carrera 49C No. 102-57 Apto 206</t>
  </si>
  <si>
    <t>HAZ516</t>
  </si>
  <si>
    <t>LCU121800777</t>
  </si>
  <si>
    <t>9GASA68M4DB035712</t>
  </si>
  <si>
    <t>RHX912</t>
  </si>
  <si>
    <t>9GATJ5865BB067145</t>
  </si>
  <si>
    <t>F16D38214131</t>
  </si>
  <si>
    <t xml:space="preserve">Avenida Calle 6 No 39B -95 Conjunto Multifamiliar la Primavera </t>
  </si>
  <si>
    <t>Carrera 13 B No. 12 - 63, Apto 809</t>
  </si>
  <si>
    <t>Ricaurte - Cundinamarca</t>
  </si>
  <si>
    <t>-</t>
  </si>
  <si>
    <t>DEW975</t>
  </si>
  <si>
    <t>BM182541</t>
  </si>
  <si>
    <t>DNM499</t>
  </si>
  <si>
    <t>9FB5SRC9GHM657078</t>
  </si>
  <si>
    <t>2842Q087561</t>
  </si>
  <si>
    <t>SEXO</t>
  </si>
  <si>
    <t>FECHA ACTUAL</t>
  </si>
  <si>
    <t>MASCULINO</t>
  </si>
  <si>
    <t>FEMENINO</t>
  </si>
  <si>
    <t>SALDO INSOLUTO</t>
  </si>
  <si>
    <t>VALOR ASEGURADO (AVALUÓ COMERCIAL)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</si>
</sst>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[$$-240A]\ #,##0"/>
    <numFmt numFmtId="166" formatCode="_-* #,##0.00_-;\-* #,##0.00_-;_-* &quot;-&quot;??_-;_-@_-"/>
    <numFmt numFmtId="167" formatCode="#,##0\ _€"/>
    <numFmt numFmtId="168" formatCode="d/mm/yyyy;@"/>
    <numFmt numFmtId="169" formatCode="_-[$$-240A]\ * #,##0_ ;_-[$$-240A]\ * \-#,##0\ ;_-[$$-240A]\ * &quot;-&quot;_ ;_-@_ "/>
    <numFmt numFmtId="170" formatCode="&quot;$&quot;\ #,##0"/>
    <numFmt numFmtId="171" formatCode="_(&quot;$&quot;* #,##0_);_(&quot;$&quot;* \(#,##0\);_(&quot;$&quot;* &quot;-&quot;_);_(@_)"/>
    <numFmt numFmtId="172" formatCode="&quot;$&quot;\ #,##0;\-&quot;$&quot;\ #,##0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0" tint="-0.1499984740745262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9" applyNumberFormat="0" applyAlignment="0" applyProtection="0"/>
    <xf numFmtId="0" fontId="11" fillId="6" borderId="10" applyNumberFormat="0" applyAlignment="0" applyProtection="0"/>
    <xf numFmtId="0" fontId="12" fillId="6" borderId="9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2" fillId="8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0" borderId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3" fillId="3" borderId="0" applyNumberFormat="0" applyBorder="0" applyAlignment="0" applyProtection="0"/>
    <xf numFmtId="0" fontId="34" fillId="6" borderId="9" applyNumberFormat="0" applyAlignment="0" applyProtection="0"/>
    <xf numFmtId="0" fontId="35" fillId="7" borderId="12" applyNumberFormat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5" borderId="9" applyNumberFormat="0" applyAlignment="0" applyProtection="0"/>
    <xf numFmtId="0" fontId="42" fillId="0" borderId="11" applyNumberFormat="0" applyFill="0" applyAlignment="0" applyProtection="0"/>
    <xf numFmtId="166" fontId="31" fillId="0" borderId="0" applyFont="0" applyFill="0" applyBorder="0" applyAlignment="0" applyProtection="0"/>
    <xf numFmtId="0" fontId="43" fillId="4" borderId="0" applyNumberFormat="0" applyBorder="0" applyAlignment="0" applyProtection="0"/>
    <xf numFmtId="0" fontId="31" fillId="8" borderId="13" applyNumberFormat="0" applyFont="0" applyAlignment="0" applyProtection="0"/>
    <xf numFmtId="0" fontId="44" fillId="6" borderId="10" applyNumberFormat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51" fillId="0" borderId="0"/>
    <xf numFmtId="171" fontId="1" fillId="0" borderId="0" applyFont="0" applyFill="0" applyBorder="0" applyAlignment="0" applyProtection="0"/>
  </cellStyleXfs>
  <cellXfs count="298">
    <xf numFmtId="0" fontId="0" fillId="0" borderId="0" xfId="0"/>
    <xf numFmtId="0" fontId="25" fillId="35" borderId="4" xfId="0" applyFont="1" applyFill="1" applyBorder="1" applyAlignment="1" applyProtection="1">
      <alignment horizontal="left" vertical="center" wrapText="1"/>
    </xf>
    <xf numFmtId="0" fontId="26" fillId="35" borderId="2" xfId="0" applyFont="1" applyFill="1" applyBorder="1" applyAlignment="1" applyProtection="1">
      <alignment horizontal="center" vertical="center" wrapText="1"/>
    </xf>
    <xf numFmtId="14" fontId="25" fillId="35" borderId="2" xfId="0" applyNumberFormat="1" applyFont="1" applyFill="1" applyBorder="1" applyAlignment="1" applyProtection="1">
      <alignment horizontal="center" vertical="center" wrapText="1"/>
    </xf>
    <xf numFmtId="165" fontId="25" fillId="35" borderId="2" xfId="0" applyNumberFormat="1" applyFont="1" applyFill="1" applyBorder="1" applyAlignment="1" applyProtection="1">
      <alignment vertical="center" wrapText="1"/>
    </xf>
    <xf numFmtId="10" fontId="25" fillId="35" borderId="2" xfId="0" applyNumberFormat="1" applyFont="1" applyFill="1" applyBorder="1" applyAlignment="1" applyProtection="1">
      <alignment horizontal="center" vertical="center" wrapText="1"/>
    </xf>
    <xf numFmtId="165" fontId="25" fillId="35" borderId="2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19" fillId="35" borderId="2" xfId="0" applyFont="1" applyFill="1" applyBorder="1" applyAlignment="1" applyProtection="1">
      <alignment horizontal="center" vertical="center" wrapText="1"/>
    </xf>
    <xf numFmtId="0" fontId="26" fillId="35" borderId="5" xfId="0" applyFont="1" applyFill="1" applyBorder="1" applyAlignment="1" applyProtection="1">
      <alignment vertical="center" wrapText="1"/>
    </xf>
    <xf numFmtId="0" fontId="26" fillId="35" borderId="4" xfId="0" applyFont="1" applyFill="1" applyBorder="1" applyAlignment="1" applyProtection="1">
      <alignment vertical="center" wrapText="1"/>
    </xf>
    <xf numFmtId="0" fontId="25" fillId="0" borderId="0" xfId="0" applyFont="1" applyBorder="1" applyAlignment="1" applyProtection="1">
      <alignment horizontal="right" vertical="center" wrapText="1"/>
    </xf>
    <xf numFmtId="0" fontId="26" fillId="34" borderId="2" xfId="0" applyFont="1" applyFill="1" applyBorder="1" applyAlignment="1" applyProtection="1">
      <alignment vertical="center" wrapText="1"/>
    </xf>
    <xf numFmtId="0" fontId="25" fillId="35" borderId="31" xfId="0" applyFont="1" applyFill="1" applyBorder="1" applyAlignment="1" applyProtection="1">
      <alignment horizontal="left" vertical="center" wrapText="1"/>
    </xf>
    <xf numFmtId="0" fontId="26" fillId="35" borderId="31" xfId="0" applyFont="1" applyFill="1" applyBorder="1" applyAlignment="1" applyProtection="1">
      <alignment horizontal="center" vertical="center" wrapText="1"/>
    </xf>
    <xf numFmtId="14" fontId="25" fillId="35" borderId="32" xfId="0" applyNumberFormat="1" applyFont="1" applyFill="1" applyBorder="1" applyAlignment="1" applyProtection="1">
      <alignment horizontal="center" vertical="center" wrapText="1"/>
    </xf>
    <xf numFmtId="165" fontId="25" fillId="35" borderId="31" xfId="0" applyNumberFormat="1" applyFont="1" applyFill="1" applyBorder="1" applyAlignment="1" applyProtection="1">
      <alignment vertical="center" wrapText="1"/>
    </xf>
    <xf numFmtId="10" fontId="25" fillId="35" borderId="31" xfId="0" applyNumberFormat="1" applyFont="1" applyFill="1" applyBorder="1" applyAlignment="1" applyProtection="1">
      <alignment horizontal="center" vertical="center" wrapText="1"/>
    </xf>
    <xf numFmtId="0" fontId="25" fillId="35" borderId="32" xfId="0" applyFont="1" applyFill="1" applyBorder="1" applyAlignment="1" applyProtection="1">
      <alignment horizontal="center" vertical="center" wrapText="1"/>
    </xf>
    <xf numFmtId="165" fontId="25" fillId="35" borderId="40" xfId="0" applyNumberFormat="1" applyFont="1" applyFill="1" applyBorder="1" applyAlignment="1" applyProtection="1">
      <alignment horizontal="right" vertical="center" wrapText="1"/>
    </xf>
    <xf numFmtId="0" fontId="19" fillId="35" borderId="5" xfId="0" applyFont="1" applyFill="1" applyBorder="1" applyAlignment="1" applyProtection="1">
      <alignment horizontal="center" vertical="center" wrapText="1"/>
    </xf>
    <xf numFmtId="0" fontId="25" fillId="35" borderId="2" xfId="0" applyFont="1" applyFill="1" applyBorder="1" applyAlignment="1" applyProtection="1">
      <alignment horizontal="left" vertical="center" wrapText="1"/>
    </xf>
    <xf numFmtId="0" fontId="25" fillId="35" borderId="30" xfId="0" applyFont="1" applyFill="1" applyBorder="1" applyAlignment="1" applyProtection="1">
      <alignment horizontal="center" vertical="center" wrapText="1"/>
    </xf>
    <xf numFmtId="0" fontId="25" fillId="35" borderId="26" xfId="0" applyFont="1" applyFill="1" applyBorder="1" applyAlignment="1" applyProtection="1">
      <alignment horizontal="left" vertical="center" wrapText="1"/>
    </xf>
    <xf numFmtId="14" fontId="25" fillId="35" borderId="27" xfId="0" applyNumberFormat="1" applyFont="1" applyFill="1" applyBorder="1" applyAlignment="1" applyProtection="1">
      <alignment horizontal="center" vertical="center" wrapText="1"/>
    </xf>
    <xf numFmtId="165" fontId="25" fillId="35" borderId="26" xfId="0" applyNumberFormat="1" applyFont="1" applyFill="1" applyBorder="1" applyAlignment="1" applyProtection="1">
      <alignment vertical="center" wrapText="1"/>
    </xf>
    <xf numFmtId="10" fontId="25" fillId="35" borderId="26" xfId="0" applyNumberFormat="1" applyFont="1" applyFill="1" applyBorder="1" applyAlignment="1" applyProtection="1">
      <alignment horizontal="center" vertical="center" wrapText="1"/>
    </xf>
    <xf numFmtId="165" fontId="25" fillId="35" borderId="4" xfId="0" applyNumberFormat="1" applyFont="1" applyFill="1" applyBorder="1" applyAlignment="1" applyProtection="1">
      <alignment horizontal="right" vertical="center" wrapText="1"/>
    </xf>
    <xf numFmtId="14" fontId="26" fillId="35" borderId="2" xfId="0" applyNumberFormat="1" applyFont="1" applyFill="1" applyBorder="1" applyAlignment="1" applyProtection="1">
      <alignment horizontal="center" vertical="center" wrapText="1"/>
    </xf>
    <xf numFmtId="165" fontId="26" fillId="35" borderId="2" xfId="0" applyNumberFormat="1" applyFont="1" applyFill="1" applyBorder="1" applyAlignment="1" applyProtection="1">
      <alignment horizontal="center" vertical="center" wrapText="1"/>
    </xf>
    <xf numFmtId="165" fontId="25" fillId="35" borderId="2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right" vertical="center" wrapText="1"/>
    </xf>
    <xf numFmtId="165" fontId="24" fillId="34" borderId="15" xfId="0" applyNumberFormat="1" applyFont="1" applyFill="1" applyBorder="1" applyAlignment="1" applyProtection="1">
      <alignment horizontal="right" vertical="center" wrapText="1"/>
    </xf>
    <xf numFmtId="0" fontId="25" fillId="0" borderId="60" xfId="0" applyFont="1" applyBorder="1" applyAlignment="1" applyProtection="1">
      <alignment horizontal="left" vertical="center" wrapText="1"/>
    </xf>
    <xf numFmtId="0" fontId="25" fillId="0" borderId="61" xfId="0" applyFont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vertical="center" wrapText="1"/>
    </xf>
    <xf numFmtId="0" fontId="0" fillId="0" borderId="38" xfId="0" applyFont="1" applyBorder="1" applyAlignment="1" applyProtection="1">
      <alignment horizontal="right" vertical="center" wrapText="1"/>
    </xf>
    <xf numFmtId="0" fontId="26" fillId="34" borderId="21" xfId="0" applyFont="1" applyFill="1" applyBorder="1" applyAlignment="1" applyProtection="1">
      <alignment horizontal="center" vertical="center" wrapText="1"/>
    </xf>
    <xf numFmtId="0" fontId="25" fillId="35" borderId="1" xfId="0" applyFont="1" applyFill="1" applyBorder="1" applyAlignment="1" applyProtection="1">
      <alignment horizontal="left" vertical="center" wrapText="1"/>
    </xf>
    <xf numFmtId="1" fontId="25" fillId="35" borderId="2" xfId="0" applyNumberFormat="1" applyFont="1" applyFill="1" applyBorder="1" applyAlignment="1" applyProtection="1">
      <alignment horizontal="center" vertical="center" wrapText="1"/>
    </xf>
    <xf numFmtId="167" fontId="25" fillId="35" borderId="2" xfId="0" applyNumberFormat="1" applyFont="1" applyFill="1" applyBorder="1" applyAlignment="1" applyProtection="1">
      <alignment horizontal="center" vertical="center" wrapText="1"/>
    </xf>
    <xf numFmtId="0" fontId="26" fillId="34" borderId="1" xfId="0" applyFont="1" applyFill="1" applyBorder="1" applyAlignment="1" applyProtection="1">
      <alignment horizontal="left" vertical="center" wrapText="1"/>
    </xf>
    <xf numFmtId="0" fontId="25" fillId="35" borderId="43" xfId="0" applyFont="1" applyFill="1" applyBorder="1" applyAlignment="1" applyProtection="1">
      <alignment horizontal="left" vertical="center" wrapText="1"/>
    </xf>
    <xf numFmtId="0" fontId="25" fillId="35" borderId="20" xfId="0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</xf>
    <xf numFmtId="0" fontId="21" fillId="35" borderId="46" xfId="0" applyFont="1" applyFill="1" applyBorder="1" applyAlignment="1" applyProtection="1">
      <alignment horizontal="center" vertical="center" wrapText="1"/>
    </xf>
    <xf numFmtId="165" fontId="21" fillId="35" borderId="46" xfId="0" applyNumberFormat="1" applyFont="1" applyFill="1" applyBorder="1" applyAlignment="1" applyProtection="1">
      <alignment horizontal="center" vertical="center" wrapText="1"/>
    </xf>
    <xf numFmtId="165" fontId="21" fillId="35" borderId="57" xfId="0" applyNumberFormat="1" applyFont="1" applyFill="1" applyBorder="1" applyAlignment="1" applyProtection="1">
      <alignment horizontal="center" vertical="center" wrapText="1"/>
    </xf>
    <xf numFmtId="0" fontId="25" fillId="35" borderId="2" xfId="0" applyFont="1" applyFill="1" applyBorder="1" applyAlignment="1" applyProtection="1">
      <alignment horizontal="center" vertical="center" wrapText="1"/>
    </xf>
    <xf numFmtId="0" fontId="26" fillId="34" borderId="2" xfId="0" applyFont="1" applyFill="1" applyBorder="1" applyAlignment="1" applyProtection="1">
      <alignment horizontal="center" vertical="center" wrapText="1"/>
    </xf>
    <xf numFmtId="0" fontId="26" fillId="36" borderId="2" xfId="0" applyFont="1" applyFill="1" applyBorder="1" applyAlignment="1" applyProtection="1">
      <alignment horizontal="center" vertical="center" wrapText="1"/>
    </xf>
    <xf numFmtId="0" fontId="26" fillId="38" borderId="2" xfId="0" applyFont="1" applyFill="1" applyBorder="1" applyAlignment="1" applyProtection="1">
      <alignment horizontal="center" vertical="center" wrapText="1"/>
    </xf>
    <xf numFmtId="0" fontId="26" fillId="37" borderId="2" xfId="0" applyFont="1" applyFill="1" applyBorder="1" applyAlignment="1" applyProtection="1">
      <alignment horizontal="center" vertical="center" wrapText="1"/>
    </xf>
    <xf numFmtId="0" fontId="25" fillId="35" borderId="33" xfId="0" applyFont="1" applyFill="1" applyBorder="1" applyAlignment="1" applyProtection="1">
      <alignment horizontal="center" vertical="center" wrapText="1"/>
    </xf>
    <xf numFmtId="0" fontId="25" fillId="35" borderId="31" xfId="0" applyFont="1" applyFill="1" applyBorder="1" applyAlignment="1" applyProtection="1">
      <alignment horizontal="center" vertical="center" wrapText="1"/>
    </xf>
    <xf numFmtId="0" fontId="25" fillId="35" borderId="26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165" fontId="26" fillId="35" borderId="2" xfId="0" applyNumberFormat="1" applyFont="1" applyFill="1" applyBorder="1" applyAlignment="1" applyProtection="1">
      <alignment horizontal="right" vertical="center" wrapText="1"/>
    </xf>
    <xf numFmtId="0" fontId="25" fillId="35" borderId="41" xfId="0" applyFont="1" applyFill="1" applyBorder="1" applyAlignment="1" applyProtection="1">
      <alignment horizontal="right" vertical="center" wrapText="1"/>
    </xf>
    <xf numFmtId="0" fontId="26" fillId="37" borderId="76" xfId="0" applyFont="1" applyFill="1" applyBorder="1" applyAlignment="1" applyProtection="1">
      <alignment horizontal="center" vertical="center" wrapText="1"/>
    </xf>
    <xf numFmtId="0" fontId="25" fillId="35" borderId="64" xfId="0" applyFont="1" applyFill="1" applyBorder="1" applyAlignment="1" applyProtection="1">
      <alignment horizontal="left" vertical="center" wrapText="1"/>
    </xf>
    <xf numFmtId="0" fontId="25" fillId="35" borderId="66" xfId="0" applyFont="1" applyFill="1" applyBorder="1" applyAlignment="1" applyProtection="1">
      <alignment horizontal="left" vertical="center" wrapText="1"/>
    </xf>
    <xf numFmtId="0" fontId="25" fillId="35" borderId="79" xfId="0" applyFont="1" applyFill="1" applyBorder="1" applyAlignment="1" applyProtection="1">
      <alignment horizontal="left" vertical="center" wrapText="1"/>
    </xf>
    <xf numFmtId="0" fontId="25" fillId="35" borderId="19" xfId="0" applyFont="1" applyFill="1" applyBorder="1" applyAlignment="1" applyProtection="1">
      <alignment horizontal="left" vertical="center" wrapText="1"/>
    </xf>
    <xf numFmtId="14" fontId="25" fillId="35" borderId="66" xfId="0" applyNumberFormat="1" applyFont="1" applyFill="1" applyBorder="1" applyAlignment="1" applyProtection="1">
      <alignment horizontal="center" vertical="center" wrapText="1"/>
    </xf>
    <xf numFmtId="14" fontId="25" fillId="35" borderId="19" xfId="0" applyNumberFormat="1" applyFont="1" applyFill="1" applyBorder="1" applyAlignment="1" applyProtection="1">
      <alignment horizontal="center" vertical="center" wrapText="1"/>
    </xf>
    <xf numFmtId="0" fontId="19" fillId="37" borderId="63" xfId="0" applyFont="1" applyFill="1" applyBorder="1" applyAlignment="1" applyProtection="1">
      <alignment horizontal="center" vertical="center" wrapText="1"/>
    </xf>
    <xf numFmtId="0" fontId="19" fillId="37" borderId="39" xfId="0" applyFont="1" applyFill="1" applyBorder="1" applyAlignment="1" applyProtection="1">
      <alignment horizontal="center" vertical="center" wrapText="1"/>
    </xf>
    <xf numFmtId="0" fontId="19" fillId="35" borderId="87" xfId="0" applyFont="1" applyFill="1" applyBorder="1" applyAlignment="1" applyProtection="1">
      <alignment horizontal="center" vertical="center" wrapText="1"/>
    </xf>
    <xf numFmtId="0" fontId="19" fillId="35" borderId="60" xfId="0" applyFont="1" applyFill="1" applyBorder="1" applyAlignment="1" applyProtection="1">
      <alignment horizontal="center" vertical="center" wrapText="1"/>
    </xf>
    <xf numFmtId="0" fontId="25" fillId="35" borderId="74" xfId="0" applyFont="1" applyFill="1" applyBorder="1" applyAlignment="1" applyProtection="1">
      <alignment horizontal="left" vertical="center" wrapText="1"/>
    </xf>
    <xf numFmtId="0" fontId="25" fillId="35" borderId="76" xfId="0" applyFont="1" applyFill="1" applyBorder="1" applyAlignment="1" applyProtection="1">
      <alignment horizontal="left" vertical="center" wrapText="1"/>
    </xf>
    <xf numFmtId="14" fontId="25" fillId="35" borderId="7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1" fontId="26" fillId="34" borderId="2" xfId="0" applyNumberFormat="1" applyFont="1" applyFill="1" applyBorder="1" applyAlignment="1" applyProtection="1">
      <alignment horizontal="center" vertical="center" wrapText="1"/>
    </xf>
    <xf numFmtId="1" fontId="24" fillId="34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1" fontId="26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165" fontId="0" fillId="0" borderId="0" xfId="0" applyNumberFormat="1" applyFont="1" applyAlignment="1" applyProtection="1">
      <alignment vertical="center" wrapText="1"/>
    </xf>
    <xf numFmtId="0" fontId="21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165" fontId="50" fillId="35" borderId="35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21" fillId="35" borderId="19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 wrapText="1"/>
    </xf>
    <xf numFmtId="3" fontId="23" fillId="0" borderId="2" xfId="0" applyNumberFormat="1" applyFont="1" applyFill="1" applyBorder="1" applyAlignment="1">
      <alignment horizontal="center"/>
    </xf>
    <xf numFmtId="14" fontId="23" fillId="0" borderId="2" xfId="0" applyNumberFormat="1" applyFont="1" applyFill="1" applyBorder="1" applyAlignment="1">
      <alignment horizontal="center"/>
    </xf>
    <xf numFmtId="168" fontId="23" fillId="0" borderId="2" xfId="0" applyNumberFormat="1" applyFont="1" applyFill="1" applyBorder="1" applyAlignment="1">
      <alignment horizontal="center"/>
    </xf>
    <xf numFmtId="168" fontId="21" fillId="0" borderId="2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2" fillId="0" borderId="0" xfId="88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2" fillId="0" borderId="0" xfId="88" applyFont="1" applyBorder="1" applyAlignment="1">
      <alignment horizontal="centerContinuous"/>
    </xf>
    <xf numFmtId="0" fontId="22" fillId="0" borderId="0" xfId="88" applyFont="1" applyBorder="1" applyAlignment="1">
      <alignment horizontal="center"/>
    </xf>
    <xf numFmtId="14" fontId="21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/>
    <xf numFmtId="0" fontId="23" fillId="0" borderId="2" xfId="0" applyFont="1" applyFill="1" applyBorder="1" applyAlignment="1"/>
    <xf numFmtId="0" fontId="21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47" fillId="0" borderId="0" xfId="0" applyFont="1" applyBorder="1" applyAlignment="1"/>
    <xf numFmtId="0" fontId="47" fillId="0" borderId="0" xfId="0" applyFont="1" applyBorder="1" applyAlignment="1">
      <alignment horizontal="center"/>
    </xf>
    <xf numFmtId="1" fontId="21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center" wrapText="1"/>
    </xf>
    <xf numFmtId="0" fontId="22" fillId="0" borderId="0" xfId="1" applyFont="1" applyBorder="1" applyAlignment="1">
      <alignment horizontal="centerContinuous"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Border="1" applyAlignment="1">
      <alignment horizontal="center" wrapText="1"/>
    </xf>
    <xf numFmtId="0" fontId="28" fillId="41" borderId="2" xfId="1" applyFont="1" applyFill="1" applyBorder="1" applyAlignment="1">
      <alignment horizontal="center" wrapText="1"/>
    </xf>
    <xf numFmtId="168" fontId="23" fillId="0" borderId="2" xfId="0" applyNumberFormat="1" applyFont="1" applyFill="1" applyBorder="1" applyAlignment="1">
      <alignment horizontal="center" wrapText="1"/>
    </xf>
    <xf numFmtId="1" fontId="23" fillId="0" borderId="2" xfId="0" applyNumberFormat="1" applyFont="1" applyFill="1" applyBorder="1" applyAlignment="1">
      <alignment horizontal="center" wrapText="1"/>
    </xf>
    <xf numFmtId="0" fontId="23" fillId="0" borderId="2" xfId="1" applyFont="1" applyFill="1" applyBorder="1" applyAlignment="1">
      <alignment horizontal="center" wrapText="1"/>
    </xf>
    <xf numFmtId="14" fontId="23" fillId="0" borderId="2" xfId="0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horizontal="center" wrapText="1"/>
    </xf>
    <xf numFmtId="14" fontId="21" fillId="0" borderId="2" xfId="0" applyNumberFormat="1" applyFont="1" applyFill="1" applyBorder="1" applyAlignment="1">
      <alignment horizontal="center" wrapText="1"/>
    </xf>
    <xf numFmtId="14" fontId="52" fillId="0" borderId="2" xfId="0" applyNumberFormat="1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3" fillId="0" borderId="2" xfId="1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center"/>
    </xf>
    <xf numFmtId="0" fontId="23" fillId="0" borderId="2" xfId="1" applyFont="1" applyFill="1" applyBorder="1" applyAlignment="1"/>
    <xf numFmtId="0" fontId="23" fillId="0" borderId="2" xfId="1" applyFont="1" applyFill="1" applyBorder="1" applyAlignment="1">
      <alignment horizontal="center"/>
    </xf>
    <xf numFmtId="14" fontId="23" fillId="0" borderId="2" xfId="46" applyNumberFormat="1" applyFont="1" applyFill="1" applyBorder="1" applyAlignment="1">
      <alignment horizontal="center"/>
    </xf>
    <xf numFmtId="14" fontId="21" fillId="0" borderId="2" xfId="46" applyNumberFormat="1" applyFont="1" applyFill="1" applyBorder="1" applyAlignment="1">
      <alignment horizontal="center"/>
    </xf>
    <xf numFmtId="0" fontId="21" fillId="0" borderId="2" xfId="1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" fontId="23" fillId="0" borderId="2" xfId="46" applyNumberFormat="1" applyFont="1" applyFill="1" applyBorder="1" applyAlignment="1">
      <alignment horizontal="center"/>
    </xf>
    <xf numFmtId="0" fontId="23" fillId="0" borderId="2" xfId="1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3" fillId="0" borderId="2" xfId="1" quotePrefix="1" applyFont="1" applyFill="1" applyBorder="1" applyAlignment="1">
      <alignment horizontal="left" wrapText="1"/>
    </xf>
    <xf numFmtId="0" fontId="21" fillId="0" borderId="2" xfId="1" applyFont="1" applyFill="1" applyBorder="1" applyAlignment="1">
      <alignment horizontal="center"/>
    </xf>
    <xf numFmtId="0" fontId="53" fillId="0" borderId="2" xfId="0" applyFont="1" applyFill="1" applyBorder="1" applyAlignment="1"/>
    <xf numFmtId="0" fontId="23" fillId="0" borderId="2" xfId="0" applyFont="1" applyBorder="1" applyAlignment="1"/>
    <xf numFmtId="0" fontId="23" fillId="0" borderId="2" xfId="46" applyFont="1" applyFill="1" applyBorder="1" applyAlignment="1">
      <alignment horizontal="center"/>
    </xf>
    <xf numFmtId="0" fontId="28" fillId="42" borderId="2" xfId="0" applyFont="1" applyFill="1" applyBorder="1" applyAlignment="1">
      <alignment horizontal="center" wrapText="1"/>
    </xf>
    <xf numFmtId="169" fontId="21" fillId="0" borderId="2" xfId="0" applyNumberFormat="1" applyFont="1" applyFill="1" applyBorder="1" applyAlignment="1"/>
    <xf numFmtId="11" fontId="21" fillId="0" borderId="2" xfId="0" applyNumberFormat="1" applyFont="1" applyFill="1" applyBorder="1" applyAlignment="1">
      <alignment horizontal="left"/>
    </xf>
    <xf numFmtId="169" fontId="23" fillId="0" borderId="2" xfId="0" applyNumberFormat="1" applyFont="1" applyFill="1" applyBorder="1" applyAlignment="1"/>
    <xf numFmtId="14" fontId="21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4" fontId="23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/>
    <xf numFmtId="0" fontId="21" fillId="0" borderId="2" xfId="0" applyFont="1" applyBorder="1" applyAlignment="1">
      <alignment horizontal="left"/>
    </xf>
    <xf numFmtId="169" fontId="21" fillId="0" borderId="2" xfId="0" applyNumberFormat="1" applyFont="1" applyBorder="1" applyAlignment="1"/>
    <xf numFmtId="0" fontId="23" fillId="0" borderId="2" xfId="0" applyFont="1" applyBorder="1" applyAlignment="1">
      <alignment horizontal="left"/>
    </xf>
    <xf numFmtId="169" fontId="23" fillId="0" borderId="2" xfId="0" applyNumberFormat="1" applyFont="1" applyBorder="1" applyAlignment="1"/>
    <xf numFmtId="6" fontId="21" fillId="0" borderId="2" xfId="0" applyNumberFormat="1" applyFont="1" applyFill="1" applyBorder="1" applyAlignment="1">
      <alignment horizontal="center"/>
    </xf>
    <xf numFmtId="6" fontId="21" fillId="0" borderId="0" xfId="0" applyNumberFormat="1" applyFont="1" applyAlignment="1">
      <alignment horizontal="center"/>
    </xf>
    <xf numFmtId="6" fontId="23" fillId="0" borderId="2" xfId="0" applyNumberFormat="1" applyFont="1" applyFill="1" applyBorder="1" applyAlignment="1">
      <alignment horizontal="center" wrapText="1"/>
    </xf>
    <xf numFmtId="170" fontId="23" fillId="0" borderId="2" xfId="0" applyNumberFormat="1" applyFont="1" applyFill="1" applyBorder="1" applyAlignment="1">
      <alignment horizontal="center"/>
    </xf>
    <xf numFmtId="172" fontId="23" fillId="0" borderId="2" xfId="89" applyNumberFormat="1" applyFont="1" applyFill="1" applyBorder="1" applyAlignment="1">
      <alignment horizontal="center"/>
    </xf>
    <xf numFmtId="172" fontId="21" fillId="0" borderId="2" xfId="89" applyNumberFormat="1" applyFont="1" applyFill="1" applyBorder="1" applyAlignment="1">
      <alignment horizontal="center"/>
    </xf>
    <xf numFmtId="0" fontId="28" fillId="41" borderId="2" xfId="1" quotePrefix="1" applyFont="1" applyFill="1" applyBorder="1" applyAlignment="1">
      <alignment horizontal="center" wrapText="1"/>
    </xf>
    <xf numFmtId="1" fontId="23" fillId="0" borderId="2" xfId="0" applyNumberFormat="1" applyFont="1" applyFill="1" applyBorder="1" applyAlignment="1">
      <alignment horizontal="center"/>
    </xf>
    <xf numFmtId="0" fontId="23" fillId="0" borderId="2" xfId="88" applyFont="1" applyFill="1" applyBorder="1" applyAlignment="1">
      <alignment horizontal="center"/>
    </xf>
    <xf numFmtId="0" fontId="21" fillId="0" borderId="2" xfId="88" applyFont="1" applyFill="1" applyBorder="1" applyAlignment="1">
      <alignment horizontal="center"/>
    </xf>
    <xf numFmtId="0" fontId="28" fillId="33" borderId="2" xfId="43" applyFont="1" applyFill="1" applyBorder="1" applyAlignment="1">
      <alignment horizontal="center" wrapText="1"/>
    </xf>
    <xf numFmtId="0" fontId="26" fillId="37" borderId="78" xfId="0" applyFont="1" applyFill="1" applyBorder="1" applyAlignment="1" applyProtection="1">
      <alignment horizontal="center" vertical="center" wrapText="1"/>
    </xf>
    <xf numFmtId="0" fontId="26" fillId="37" borderId="80" xfId="0" applyFont="1" applyFill="1" applyBorder="1" applyAlignment="1" applyProtection="1">
      <alignment horizontal="center" vertical="center" wrapText="1"/>
    </xf>
    <xf numFmtId="0" fontId="26" fillId="37" borderId="64" xfId="0" applyFont="1" applyFill="1" applyBorder="1" applyAlignment="1" applyProtection="1">
      <alignment horizontal="center" vertical="center" wrapText="1"/>
    </xf>
    <xf numFmtId="0" fontId="26" fillId="37" borderId="74" xfId="0" applyFont="1" applyFill="1" applyBorder="1" applyAlignment="1" applyProtection="1">
      <alignment horizontal="center" vertical="center" wrapText="1"/>
    </xf>
    <xf numFmtId="0" fontId="26" fillId="37" borderId="65" xfId="0" applyFont="1" applyFill="1" applyBorder="1" applyAlignment="1" applyProtection="1">
      <alignment horizontal="center" vertical="center" wrapText="1"/>
    </xf>
    <xf numFmtId="0" fontId="26" fillId="37" borderId="75" xfId="0" applyFont="1" applyFill="1" applyBorder="1" applyAlignment="1" applyProtection="1">
      <alignment horizontal="center" vertical="center" wrapText="1"/>
    </xf>
    <xf numFmtId="0" fontId="26" fillId="37" borderId="66" xfId="0" applyFont="1" applyFill="1" applyBorder="1" applyAlignment="1" applyProtection="1">
      <alignment horizontal="center" vertical="center" wrapText="1"/>
    </xf>
    <xf numFmtId="0" fontId="26" fillId="37" borderId="84" xfId="0" applyFont="1" applyFill="1" applyBorder="1" applyAlignment="1" applyProtection="1">
      <alignment horizontal="center" vertical="center" wrapText="1"/>
    </xf>
    <xf numFmtId="0" fontId="26" fillId="37" borderId="81" xfId="0" applyFont="1" applyFill="1" applyBorder="1" applyAlignment="1" applyProtection="1">
      <alignment horizontal="center" vertical="center" wrapText="1"/>
    </xf>
    <xf numFmtId="0" fontId="26" fillId="37" borderId="83" xfId="0" applyFont="1" applyFill="1" applyBorder="1" applyAlignment="1" applyProtection="1">
      <alignment horizontal="center" vertical="center" wrapText="1"/>
    </xf>
    <xf numFmtId="0" fontId="26" fillId="37" borderId="82" xfId="0" applyFont="1" applyFill="1" applyBorder="1" applyAlignment="1" applyProtection="1">
      <alignment horizontal="center" vertical="center" wrapText="1"/>
    </xf>
    <xf numFmtId="0" fontId="20" fillId="34" borderId="5" xfId="0" applyFont="1" applyFill="1" applyBorder="1" applyAlignment="1" applyProtection="1">
      <alignment horizontal="center" vertical="center" wrapText="1"/>
    </xf>
    <xf numFmtId="0" fontId="26" fillId="34" borderId="4" xfId="0" applyFont="1" applyFill="1" applyBorder="1" applyAlignment="1" applyProtection="1">
      <alignment horizontal="center" vertical="center" wrapText="1"/>
    </xf>
    <xf numFmtId="0" fontId="26" fillId="34" borderId="2" xfId="0" applyFont="1" applyFill="1" applyBorder="1" applyAlignment="1" applyProtection="1">
      <alignment horizontal="center" vertical="center" wrapText="1"/>
    </xf>
    <xf numFmtId="0" fontId="49" fillId="39" borderId="22" xfId="0" applyFont="1" applyFill="1" applyBorder="1" applyAlignment="1" applyProtection="1">
      <alignment horizontal="center" vertical="center" wrapText="1"/>
    </xf>
    <xf numFmtId="0" fontId="49" fillId="39" borderId="23" xfId="0" applyFont="1" applyFill="1" applyBorder="1" applyAlignment="1" applyProtection="1">
      <alignment horizontal="center" vertical="center" wrapText="1"/>
    </xf>
    <xf numFmtId="0" fontId="49" fillId="39" borderId="24" xfId="0" applyFont="1" applyFill="1" applyBorder="1" applyAlignment="1" applyProtection="1">
      <alignment horizontal="center" vertical="center" wrapText="1"/>
    </xf>
    <xf numFmtId="0" fontId="26" fillId="34" borderId="63" xfId="0" applyFont="1" applyFill="1" applyBorder="1" applyAlignment="1" applyProtection="1">
      <alignment horizontal="center" vertical="center" wrapText="1"/>
    </xf>
    <xf numFmtId="0" fontId="26" fillId="34" borderId="39" xfId="0" applyFont="1" applyFill="1" applyBorder="1" applyAlignment="1" applyProtection="1">
      <alignment horizontal="center" vertical="center" wrapText="1"/>
    </xf>
    <xf numFmtId="0" fontId="26" fillId="34" borderId="64" xfId="0" applyFont="1" applyFill="1" applyBorder="1" applyAlignment="1" applyProtection="1">
      <alignment horizontal="center" vertical="center" wrapText="1"/>
    </xf>
    <xf numFmtId="0" fontId="26" fillId="34" borderId="42" xfId="0" applyFont="1" applyFill="1" applyBorder="1" applyAlignment="1" applyProtection="1">
      <alignment horizontal="center" vertical="center" wrapText="1"/>
    </xf>
    <xf numFmtId="0" fontId="26" fillId="34" borderId="65" xfId="0" applyFont="1" applyFill="1" applyBorder="1" applyAlignment="1" applyProtection="1">
      <alignment horizontal="center" vertical="center" wrapText="1"/>
    </xf>
    <xf numFmtId="0" fontId="26" fillId="34" borderId="32" xfId="0" applyFont="1" applyFill="1" applyBorder="1" applyAlignment="1" applyProtection="1">
      <alignment horizontal="center" vertical="center" wrapText="1"/>
    </xf>
    <xf numFmtId="0" fontId="26" fillId="34" borderId="66" xfId="0" applyFont="1" applyFill="1" applyBorder="1" applyAlignment="1" applyProtection="1">
      <alignment horizontal="center" vertical="center" wrapText="1"/>
    </xf>
    <xf numFmtId="0" fontId="26" fillId="34" borderId="67" xfId="0" applyFont="1" applyFill="1" applyBorder="1" applyAlignment="1" applyProtection="1">
      <alignment horizontal="center" vertical="center" wrapText="1"/>
    </xf>
    <xf numFmtId="0" fontId="26" fillId="34" borderId="69" xfId="0" applyFont="1" applyFill="1" applyBorder="1" applyAlignment="1" applyProtection="1">
      <alignment horizontal="center" vertical="center" wrapText="1"/>
    </xf>
    <xf numFmtId="0" fontId="26" fillId="34" borderId="33" xfId="0" applyFont="1" applyFill="1" applyBorder="1" applyAlignment="1" applyProtection="1">
      <alignment horizontal="center" vertical="center" wrapText="1"/>
    </xf>
    <xf numFmtId="0" fontId="26" fillId="34" borderId="31" xfId="0" applyFont="1" applyFill="1" applyBorder="1" applyAlignment="1" applyProtection="1">
      <alignment horizontal="center" vertical="center" wrapText="1"/>
    </xf>
    <xf numFmtId="0" fontId="26" fillId="34" borderId="36" xfId="0" applyFont="1" applyFill="1" applyBorder="1" applyAlignment="1" applyProtection="1">
      <alignment horizontal="center" vertical="center" wrapText="1"/>
    </xf>
    <xf numFmtId="0" fontId="26" fillId="34" borderId="34" xfId="0" applyFont="1" applyFill="1" applyBorder="1" applyAlignment="1" applyProtection="1">
      <alignment horizontal="center" vertical="center" wrapText="1"/>
    </xf>
    <xf numFmtId="0" fontId="17" fillId="34" borderId="28" xfId="0" applyFont="1" applyFill="1" applyBorder="1" applyAlignment="1" applyProtection="1">
      <alignment horizontal="right" vertical="center" wrapText="1"/>
    </xf>
    <xf numFmtId="0" fontId="17" fillId="34" borderId="29" xfId="0" applyFont="1" applyFill="1" applyBorder="1" applyAlignment="1" applyProtection="1">
      <alignment horizontal="right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164" fontId="25" fillId="35" borderId="5" xfId="45" applyFont="1" applyFill="1" applyBorder="1" applyAlignment="1" applyProtection="1">
      <alignment horizontal="center" vertical="center" wrapText="1"/>
    </xf>
    <xf numFmtId="164" fontId="25" fillId="35" borderId="70" xfId="45" applyFont="1" applyFill="1" applyBorder="1" applyAlignment="1" applyProtection="1">
      <alignment horizontal="center" vertical="center" wrapText="1"/>
    </xf>
    <xf numFmtId="164" fontId="25" fillId="35" borderId="4" xfId="45" applyFont="1" applyFill="1" applyBorder="1" applyAlignment="1" applyProtection="1">
      <alignment horizontal="center" vertical="center" wrapText="1"/>
    </xf>
    <xf numFmtId="49" fontId="25" fillId="35" borderId="5" xfId="0" applyNumberFormat="1" applyFont="1" applyFill="1" applyBorder="1" applyAlignment="1" applyProtection="1">
      <alignment horizontal="center" vertical="center" wrapText="1"/>
    </xf>
    <xf numFmtId="49" fontId="25" fillId="35" borderId="70" xfId="0" applyNumberFormat="1" applyFont="1" applyFill="1" applyBorder="1" applyAlignment="1" applyProtection="1">
      <alignment horizontal="center" vertical="center" wrapText="1"/>
    </xf>
    <xf numFmtId="49" fontId="25" fillId="35" borderId="4" xfId="0" applyNumberFormat="1" applyFont="1" applyFill="1" applyBorder="1" applyAlignment="1" applyProtection="1">
      <alignment horizontal="center" vertical="center" wrapText="1"/>
    </xf>
    <xf numFmtId="0" fontId="26" fillId="37" borderId="2" xfId="0" applyFont="1" applyFill="1" applyBorder="1" applyAlignment="1" applyProtection="1">
      <alignment horizontal="center" vertical="center" wrapText="1"/>
    </xf>
    <xf numFmtId="0" fontId="25" fillId="35" borderId="33" xfId="0" applyFont="1" applyFill="1" applyBorder="1" applyAlignment="1" applyProtection="1">
      <alignment horizontal="center" vertical="center" wrapText="1"/>
    </xf>
    <xf numFmtId="0" fontId="25" fillId="35" borderId="31" xfId="0" applyFont="1" applyFill="1" applyBorder="1" applyAlignment="1" applyProtection="1">
      <alignment horizontal="center" vertical="center" wrapText="1"/>
    </xf>
    <xf numFmtId="0" fontId="26" fillId="36" borderId="2" xfId="0" applyFont="1" applyFill="1" applyBorder="1" applyAlignment="1" applyProtection="1">
      <alignment horizontal="center" vertical="center" wrapText="1"/>
    </xf>
    <xf numFmtId="0" fontId="26" fillId="36" borderId="4" xfId="0" applyFont="1" applyFill="1" applyBorder="1" applyAlignment="1" applyProtection="1">
      <alignment horizontal="center" vertical="center" wrapText="1"/>
    </xf>
    <xf numFmtId="0" fontId="26" fillId="38" borderId="3" xfId="0" applyFont="1" applyFill="1" applyBorder="1" applyAlignment="1" applyProtection="1">
      <alignment horizontal="right" vertical="center" wrapText="1"/>
    </xf>
    <xf numFmtId="0" fontId="26" fillId="38" borderId="37" xfId="0" applyFont="1" applyFill="1" applyBorder="1" applyAlignment="1" applyProtection="1">
      <alignment horizontal="right" vertical="center" wrapText="1"/>
    </xf>
    <xf numFmtId="0" fontId="26" fillId="40" borderId="3" xfId="0" applyFont="1" applyFill="1" applyBorder="1" applyAlignment="1" applyProtection="1">
      <alignment horizontal="right" vertical="center" wrapText="1"/>
    </xf>
    <xf numFmtId="0" fontId="26" fillId="40" borderId="37" xfId="0" applyFont="1" applyFill="1" applyBorder="1" applyAlignment="1" applyProtection="1">
      <alignment horizontal="right" vertical="center" wrapText="1"/>
    </xf>
    <xf numFmtId="0" fontId="26" fillId="38" borderId="4" xfId="0" applyFont="1" applyFill="1" applyBorder="1" applyAlignment="1" applyProtection="1">
      <alignment horizontal="center" vertical="center" wrapText="1"/>
    </xf>
    <xf numFmtId="0" fontId="26" fillId="38" borderId="2" xfId="0" applyFont="1" applyFill="1" applyBorder="1" applyAlignment="1" applyProtection="1">
      <alignment horizontal="center" vertical="center" wrapText="1"/>
    </xf>
    <xf numFmtId="0" fontId="26" fillId="38" borderId="3" xfId="0" applyFont="1" applyFill="1" applyBorder="1" applyAlignment="1" applyProtection="1">
      <alignment horizontal="center" vertical="center" wrapText="1"/>
    </xf>
    <xf numFmtId="0" fontId="26" fillId="38" borderId="37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5" fillId="35" borderId="2" xfId="0" applyFont="1" applyFill="1" applyBorder="1" applyAlignment="1" applyProtection="1">
      <alignment horizontal="center" vertical="center" wrapText="1"/>
    </xf>
    <xf numFmtId="0" fontId="26" fillId="37" borderId="3" xfId="0" applyFont="1" applyFill="1" applyBorder="1" applyAlignment="1" applyProtection="1">
      <alignment horizontal="right" vertical="center" wrapText="1"/>
    </xf>
    <xf numFmtId="0" fontId="26" fillId="37" borderId="37" xfId="0" applyFont="1" applyFill="1" applyBorder="1" applyAlignment="1" applyProtection="1">
      <alignment horizontal="right" vertical="center" wrapText="1"/>
    </xf>
    <xf numFmtId="0" fontId="26" fillId="34" borderId="3" xfId="0" applyFont="1" applyFill="1" applyBorder="1" applyAlignment="1" applyProtection="1">
      <alignment horizontal="right" vertical="center" wrapText="1"/>
    </xf>
    <xf numFmtId="0" fontId="26" fillId="34" borderId="37" xfId="0" applyFont="1" applyFill="1" applyBorder="1" applyAlignment="1" applyProtection="1">
      <alignment horizontal="right" vertical="center" wrapText="1"/>
    </xf>
    <xf numFmtId="0" fontId="25" fillId="35" borderId="73" xfId="0" applyFont="1" applyFill="1" applyBorder="1" applyAlignment="1" applyProtection="1">
      <alignment horizontal="center" vertical="center" wrapText="1"/>
    </xf>
    <xf numFmtId="0" fontId="25" fillId="35" borderId="70" xfId="0" applyFont="1" applyFill="1" applyBorder="1" applyAlignment="1" applyProtection="1">
      <alignment horizontal="center" vertical="center" wrapText="1"/>
    </xf>
    <xf numFmtId="0" fontId="25" fillId="35" borderId="26" xfId="0" applyFont="1" applyFill="1" applyBorder="1" applyAlignment="1" applyProtection="1">
      <alignment horizontal="center" vertical="center" wrapText="1"/>
    </xf>
    <xf numFmtId="0" fontId="26" fillId="34" borderId="71" xfId="0" applyFont="1" applyFill="1" applyBorder="1" applyAlignment="1" applyProtection="1">
      <alignment horizontal="center" vertical="center" wrapText="1"/>
    </xf>
    <xf numFmtId="0" fontId="26" fillId="34" borderId="20" xfId="0" applyFont="1" applyFill="1" applyBorder="1" applyAlignment="1" applyProtection="1">
      <alignment horizontal="center" vertical="center" wrapText="1"/>
    </xf>
    <xf numFmtId="0" fontId="26" fillId="34" borderId="17" xfId="0" applyFont="1" applyFill="1" applyBorder="1" applyAlignment="1" applyProtection="1">
      <alignment horizontal="center" vertical="center" wrapText="1"/>
    </xf>
    <xf numFmtId="0" fontId="26" fillId="34" borderId="72" xfId="0" applyFont="1" applyFill="1" applyBorder="1" applyAlignment="1" applyProtection="1">
      <alignment horizontal="center" vertical="center" wrapText="1"/>
    </xf>
    <xf numFmtId="0" fontId="26" fillId="34" borderId="18" xfId="0" applyFont="1" applyFill="1" applyBorder="1" applyAlignment="1" applyProtection="1">
      <alignment horizontal="center" vertical="center" wrapText="1"/>
    </xf>
    <xf numFmtId="0" fontId="26" fillId="34" borderId="40" xfId="0" applyFont="1" applyFill="1" applyBorder="1" applyAlignment="1" applyProtection="1">
      <alignment horizontal="center" vertical="center" wrapText="1"/>
    </xf>
    <xf numFmtId="0" fontId="21" fillId="35" borderId="44" xfId="0" applyFont="1" applyFill="1" applyBorder="1" applyAlignment="1" applyProtection="1">
      <alignment horizontal="left" vertical="center" wrapText="1"/>
    </xf>
    <xf numFmtId="0" fontId="21" fillId="35" borderId="45" xfId="0" applyFont="1" applyFill="1" applyBorder="1" applyAlignment="1" applyProtection="1">
      <alignment horizontal="left" vertical="center" wrapText="1"/>
    </xf>
    <xf numFmtId="0" fontId="27" fillId="39" borderId="52" xfId="0" applyFont="1" applyFill="1" applyBorder="1" applyAlignment="1" applyProtection="1">
      <alignment horizontal="center" vertical="center" wrapText="1"/>
    </xf>
    <xf numFmtId="0" fontId="27" fillId="39" borderId="53" xfId="0" applyFont="1" applyFill="1" applyBorder="1" applyAlignment="1" applyProtection="1">
      <alignment horizontal="center" vertical="center" wrapText="1"/>
    </xf>
    <xf numFmtId="0" fontId="27" fillId="39" borderId="54" xfId="0" applyFont="1" applyFill="1" applyBorder="1" applyAlignment="1" applyProtection="1">
      <alignment horizontal="center" vertical="center" wrapText="1"/>
    </xf>
    <xf numFmtId="0" fontId="20" fillId="40" borderId="5" xfId="0" applyFont="1" applyFill="1" applyBorder="1" applyAlignment="1" applyProtection="1">
      <alignment horizontal="center" vertical="center" wrapText="1"/>
    </xf>
    <xf numFmtId="0" fontId="26" fillId="36" borderId="3" xfId="0" applyFont="1" applyFill="1" applyBorder="1" applyAlignment="1" applyProtection="1">
      <alignment horizontal="right" vertical="center" wrapText="1"/>
    </xf>
    <xf numFmtId="0" fontId="26" fillId="36" borderId="37" xfId="0" applyFont="1" applyFill="1" applyBorder="1" applyAlignment="1" applyProtection="1">
      <alignment horizontal="right" vertical="center" wrapText="1"/>
    </xf>
    <xf numFmtId="0" fontId="21" fillId="35" borderId="46" xfId="0" applyFont="1" applyFill="1" applyBorder="1" applyAlignment="1" applyProtection="1">
      <alignment horizontal="left" vertical="center" wrapText="1"/>
    </xf>
    <xf numFmtId="0" fontId="21" fillId="35" borderId="47" xfId="0" applyFont="1" applyFill="1" applyBorder="1" applyAlignment="1" applyProtection="1">
      <alignment horizontal="left" vertical="center" wrapText="1"/>
    </xf>
    <xf numFmtId="0" fontId="21" fillId="35" borderId="48" xfId="0" applyFont="1" applyFill="1" applyBorder="1" applyAlignment="1" applyProtection="1">
      <alignment horizontal="left" vertical="center" wrapText="1"/>
    </xf>
    <xf numFmtId="165" fontId="21" fillId="35" borderId="47" xfId="0" applyNumberFormat="1" applyFont="1" applyFill="1" applyBorder="1" applyAlignment="1" applyProtection="1">
      <alignment horizontal="center" vertical="center" wrapText="1"/>
    </xf>
    <xf numFmtId="165" fontId="21" fillId="35" borderId="49" xfId="0" applyNumberFormat="1" applyFont="1" applyFill="1" applyBorder="1" applyAlignment="1" applyProtection="1">
      <alignment horizontal="center" vertical="center" wrapText="1"/>
    </xf>
    <xf numFmtId="0" fontId="21" fillId="35" borderId="50" xfId="0" applyFont="1" applyFill="1" applyBorder="1" applyAlignment="1" applyProtection="1">
      <alignment horizontal="center" vertical="center" wrapText="1"/>
    </xf>
    <xf numFmtId="0" fontId="21" fillId="35" borderId="51" xfId="0" applyFont="1" applyFill="1" applyBorder="1" applyAlignment="1" applyProtection="1">
      <alignment horizontal="center" vertical="center" wrapText="1"/>
    </xf>
    <xf numFmtId="0" fontId="49" fillId="39" borderId="0" xfId="0" applyFont="1" applyFill="1" applyBorder="1" applyAlignment="1" applyProtection="1">
      <alignment horizontal="center" vertical="center" wrapText="1"/>
    </xf>
    <xf numFmtId="0" fontId="49" fillId="39" borderId="18" xfId="0" applyFont="1" applyFill="1" applyBorder="1" applyAlignment="1" applyProtection="1">
      <alignment horizontal="center" vertical="center" wrapText="1"/>
    </xf>
    <xf numFmtId="0" fontId="29" fillId="34" borderId="5" xfId="0" applyFont="1" applyFill="1" applyBorder="1" applyAlignment="1" applyProtection="1">
      <alignment horizontal="center" vertical="center" wrapText="1"/>
    </xf>
    <xf numFmtId="0" fontId="29" fillId="34" borderId="4" xfId="0" applyFont="1" applyFill="1" applyBorder="1" applyAlignment="1" applyProtection="1">
      <alignment horizontal="center" vertical="center" wrapText="1"/>
    </xf>
    <xf numFmtId="0" fontId="21" fillId="35" borderId="55" xfId="0" applyFont="1" applyFill="1" applyBorder="1" applyAlignment="1" applyProtection="1">
      <alignment horizontal="left" vertical="center" wrapText="1"/>
    </xf>
    <xf numFmtId="0" fontId="21" fillId="35" borderId="56" xfId="0" applyFont="1" applyFill="1" applyBorder="1" applyAlignment="1" applyProtection="1">
      <alignment horizontal="left" vertical="center" wrapText="1"/>
    </xf>
    <xf numFmtId="0" fontId="25" fillId="35" borderId="16" xfId="0" applyFont="1" applyFill="1" applyBorder="1" applyAlignment="1" applyProtection="1">
      <alignment horizontal="center" vertical="center" wrapText="1"/>
    </xf>
    <xf numFmtId="164" fontId="25" fillId="35" borderId="2" xfId="45" applyFont="1" applyFill="1" applyBorder="1" applyAlignment="1" applyProtection="1">
      <alignment horizontal="center" vertical="center" wrapText="1"/>
    </xf>
    <xf numFmtId="164" fontId="25" fillId="35" borderId="16" xfId="45" applyFont="1" applyFill="1" applyBorder="1" applyAlignment="1" applyProtection="1">
      <alignment horizontal="center" vertical="center" wrapText="1"/>
    </xf>
    <xf numFmtId="0" fontId="21" fillId="35" borderId="58" xfId="0" applyFont="1" applyFill="1" applyBorder="1" applyAlignment="1" applyProtection="1">
      <alignment horizontal="center" vertical="center" wrapText="1"/>
    </xf>
    <xf numFmtId="0" fontId="21" fillId="35" borderId="62" xfId="0" applyFont="1" applyFill="1" applyBorder="1" applyAlignment="1" applyProtection="1">
      <alignment horizontal="center" vertical="center" wrapText="1"/>
    </xf>
    <xf numFmtId="0" fontId="21" fillId="35" borderId="57" xfId="0" applyFont="1" applyFill="1" applyBorder="1" applyAlignment="1" applyProtection="1">
      <alignment horizontal="left" vertical="center" wrapText="1"/>
    </xf>
    <xf numFmtId="0" fontId="21" fillId="35" borderId="58" xfId="0" applyFont="1" applyFill="1" applyBorder="1" applyAlignment="1" applyProtection="1">
      <alignment horizontal="left" vertical="center" wrapText="1"/>
    </xf>
    <xf numFmtId="0" fontId="21" fillId="35" borderId="59" xfId="0" applyFont="1" applyFill="1" applyBorder="1" applyAlignment="1" applyProtection="1">
      <alignment horizontal="left" vertical="center" wrapText="1"/>
    </xf>
    <xf numFmtId="0" fontId="25" fillId="35" borderId="84" xfId="0" applyFont="1" applyFill="1" applyBorder="1" applyAlignment="1" applyProtection="1">
      <alignment horizontal="center" vertical="center" wrapText="1"/>
    </xf>
    <xf numFmtId="0" fontId="25" fillId="35" borderId="86" xfId="0" applyFont="1" applyFill="1" applyBorder="1" applyAlignment="1" applyProtection="1">
      <alignment horizontal="center" vertical="center" wrapText="1"/>
    </xf>
    <xf numFmtId="0" fontId="25" fillId="35" borderId="81" xfId="0" applyFont="1" applyFill="1" applyBorder="1" applyAlignment="1" applyProtection="1">
      <alignment horizontal="center" vertical="center" wrapText="1"/>
    </xf>
    <xf numFmtId="167" fontId="25" fillId="35" borderId="83" xfId="0" applyNumberFormat="1" applyFont="1" applyFill="1" applyBorder="1" applyAlignment="1" applyProtection="1">
      <alignment horizontal="center" vertical="center" wrapText="1"/>
    </xf>
    <xf numFmtId="167" fontId="25" fillId="35" borderId="85" xfId="0" applyNumberFormat="1" applyFont="1" applyFill="1" applyBorder="1" applyAlignment="1" applyProtection="1">
      <alignment horizontal="center" vertical="center" wrapText="1"/>
    </xf>
    <xf numFmtId="167" fontId="25" fillId="35" borderId="82" xfId="0" applyNumberFormat="1" applyFont="1" applyFill="1" applyBorder="1" applyAlignment="1" applyProtection="1">
      <alignment horizontal="center" vertical="center" wrapText="1"/>
    </xf>
    <xf numFmtId="0" fontId="26" fillId="37" borderId="68" xfId="0" applyFont="1" applyFill="1" applyBorder="1" applyAlignment="1" applyProtection="1">
      <alignment horizontal="center" vertical="center" wrapText="1"/>
    </xf>
    <xf numFmtId="0" fontId="26" fillId="37" borderId="77" xfId="0" applyFont="1" applyFill="1" applyBorder="1" applyAlignment="1" applyProtection="1">
      <alignment horizontal="center" vertical="center" wrapText="1"/>
    </xf>
    <xf numFmtId="0" fontId="26" fillId="37" borderId="5" xfId="0" applyFont="1" applyFill="1" applyBorder="1" applyAlignment="1" applyProtection="1">
      <alignment horizontal="center" vertical="center" wrapText="1"/>
    </xf>
    <xf numFmtId="0" fontId="26" fillId="37" borderId="70" xfId="0" applyFont="1" applyFill="1" applyBorder="1" applyAlignment="1" applyProtection="1">
      <alignment horizontal="center" vertical="center" wrapText="1"/>
    </xf>
    <xf numFmtId="0" fontId="26" fillId="37" borderId="4" xfId="0" applyFont="1" applyFill="1" applyBorder="1" applyAlignment="1" applyProtection="1">
      <alignment horizontal="center" vertical="center" wrapText="1"/>
    </xf>
    <xf numFmtId="0" fontId="25" fillId="35" borderId="83" xfId="0" applyFont="1" applyFill="1" applyBorder="1" applyAlignment="1" applyProtection="1">
      <alignment horizontal="center" vertical="center"/>
    </xf>
    <xf numFmtId="0" fontId="25" fillId="35" borderId="85" xfId="0" applyFont="1" applyFill="1" applyBorder="1" applyAlignment="1" applyProtection="1">
      <alignment horizontal="center" vertical="center"/>
    </xf>
    <xf numFmtId="0" fontId="25" fillId="35" borderId="82" xfId="0" applyFont="1" applyFill="1" applyBorder="1" applyAlignment="1" applyProtection="1">
      <alignment horizontal="center" vertical="center"/>
    </xf>
    <xf numFmtId="0" fontId="25" fillId="35" borderId="36" xfId="0" applyFont="1" applyFill="1" applyBorder="1" applyAlignment="1" applyProtection="1">
      <alignment horizontal="center" vertical="center"/>
    </xf>
    <xf numFmtId="0" fontId="25" fillId="35" borderId="25" xfId="0" applyFont="1" applyFill="1" applyBorder="1" applyAlignment="1" applyProtection="1">
      <alignment horizontal="center" vertical="center"/>
    </xf>
  </cellXfs>
  <cellStyles count="90">
    <cellStyle name="20% - Énfasis1" xfId="20" builtinId="30" customBuiltin="1"/>
    <cellStyle name="20% - Énfasis1 2" xfId="47"/>
    <cellStyle name="20% - Énfasis2" xfId="24" builtinId="34" customBuiltin="1"/>
    <cellStyle name="20% - Énfasis2 2" xfId="48"/>
    <cellStyle name="20% - Énfasis3" xfId="28" builtinId="38" customBuiltin="1"/>
    <cellStyle name="20% - Énfasis3 2" xfId="49"/>
    <cellStyle name="20% - Énfasis4" xfId="32" builtinId="42" customBuiltin="1"/>
    <cellStyle name="20% - Énfasis4 2" xfId="50"/>
    <cellStyle name="20% - Énfasis5" xfId="36" builtinId="46" customBuiltin="1"/>
    <cellStyle name="20% - Énfasis5 2" xfId="51"/>
    <cellStyle name="20% - Énfasis6" xfId="40" builtinId="50" customBuiltin="1"/>
    <cellStyle name="20% - Énfasis6 2" xfId="52"/>
    <cellStyle name="40% - Énfasis1" xfId="21" builtinId="31" customBuiltin="1"/>
    <cellStyle name="40% - Énfasis1 2" xfId="53"/>
    <cellStyle name="40% - Énfasis2" xfId="25" builtinId="35" customBuiltin="1"/>
    <cellStyle name="40% - Énfasis2 2" xfId="54"/>
    <cellStyle name="40% - Énfasis3" xfId="29" builtinId="39" customBuiltin="1"/>
    <cellStyle name="40% - Énfasis3 2" xfId="55"/>
    <cellStyle name="40% - Énfasis4" xfId="33" builtinId="43" customBuiltin="1"/>
    <cellStyle name="40% - Énfasis4 2" xfId="56"/>
    <cellStyle name="40% - Énfasis5" xfId="37" builtinId="47" customBuiltin="1"/>
    <cellStyle name="40% - Énfasis5 2" xfId="57"/>
    <cellStyle name="40% - Énfasis6" xfId="41" builtinId="51" customBuiltin="1"/>
    <cellStyle name="40% - Énfasis6 2" xfId="58"/>
    <cellStyle name="60% - Énfasis1" xfId="22" builtinId="32" customBuiltin="1"/>
    <cellStyle name="60% - Énfasis1 2" xfId="59"/>
    <cellStyle name="60% - Énfasis2" xfId="26" builtinId="36" customBuiltin="1"/>
    <cellStyle name="60% - Énfasis2 2" xfId="60"/>
    <cellStyle name="60% - Énfasis3" xfId="30" builtinId="40" customBuiltin="1"/>
    <cellStyle name="60% - Énfasis3 2" xfId="61"/>
    <cellStyle name="60% - Énfasis4" xfId="34" builtinId="44" customBuiltin="1"/>
    <cellStyle name="60% - Énfasis4 2" xfId="62"/>
    <cellStyle name="60% - Énfasis5" xfId="38" builtinId="48" customBuiltin="1"/>
    <cellStyle name="60% - Énfasis5 2" xfId="63"/>
    <cellStyle name="60% - Énfasis6" xfId="42" builtinId="52" customBuiltin="1"/>
    <cellStyle name="60% - Énfasis6 2" xfId="64"/>
    <cellStyle name="Buena" xfId="7" builtinId="26" customBuiltin="1"/>
    <cellStyle name="Buena 2" xfId="75"/>
    <cellStyle name="Cálculo" xfId="12" builtinId="22" customBuiltin="1"/>
    <cellStyle name="Cálculo 2" xfId="72"/>
    <cellStyle name="Celda de comprobación" xfId="14" builtinId="23" customBuiltin="1"/>
    <cellStyle name="Celda de comprobación 2" xfId="73"/>
    <cellStyle name="Celda vinculada" xfId="13" builtinId="24" customBuiltin="1"/>
    <cellStyle name="Celda vinculada 2" xfId="81"/>
    <cellStyle name="Encabezado 4" xfId="6" builtinId="19" customBuiltin="1"/>
    <cellStyle name="Encabezado 4 2" xfId="79"/>
    <cellStyle name="Énfasis1" xfId="19" builtinId="29" customBuiltin="1"/>
    <cellStyle name="Énfasis1 2" xfId="65"/>
    <cellStyle name="Énfasis2" xfId="23" builtinId="33" customBuiltin="1"/>
    <cellStyle name="Énfasis2 2" xfId="66"/>
    <cellStyle name="Énfasis3" xfId="27" builtinId="37" customBuiltin="1"/>
    <cellStyle name="Énfasis3 2" xfId="67"/>
    <cellStyle name="Énfasis4" xfId="31" builtinId="41" customBuiltin="1"/>
    <cellStyle name="Énfasis4 2" xfId="68"/>
    <cellStyle name="Énfasis5" xfId="35" builtinId="45" customBuiltin="1"/>
    <cellStyle name="Énfasis5 2" xfId="69"/>
    <cellStyle name="Énfasis6" xfId="39" builtinId="49" customBuiltin="1"/>
    <cellStyle name="Énfasis6 2" xfId="70"/>
    <cellStyle name="Entrada" xfId="10" builtinId="20" customBuiltin="1"/>
    <cellStyle name="Entrada 2" xfId="80"/>
    <cellStyle name="Incorrecto" xfId="8" builtinId="27" customBuiltin="1"/>
    <cellStyle name="Incorrecto 2" xfId="71"/>
    <cellStyle name="Millares" xfId="45" builtinId="3"/>
    <cellStyle name="Millares 2" xfId="82"/>
    <cellStyle name="Moneda [0]_Hoja1 2" xfId="89"/>
    <cellStyle name="Moneda 2" xfId="44"/>
    <cellStyle name="Neutral" xfId="9" builtinId="28" customBuiltin="1"/>
    <cellStyle name="Neutral 2" xfId="83"/>
    <cellStyle name="Normal" xfId="0" builtinId="0"/>
    <cellStyle name="Normal 2" xfId="1"/>
    <cellStyle name="Normal 3" xfId="46"/>
    <cellStyle name="Normal_Hoja1" xfId="43"/>
    <cellStyle name="Normal_Hoja1 2" xfId="88"/>
    <cellStyle name="Notas" xfId="16" builtinId="10" customBuiltin="1"/>
    <cellStyle name="Notas 2" xfId="84"/>
    <cellStyle name="Salida" xfId="11" builtinId="21" customBuiltin="1"/>
    <cellStyle name="Salida 2" xfId="85"/>
    <cellStyle name="Texto de advertencia" xfId="15" builtinId="11" customBuiltin="1"/>
    <cellStyle name="Texto de advertencia 2" xfId="87"/>
    <cellStyle name="Texto explicativo" xfId="17" builtinId="53" customBuiltin="1"/>
    <cellStyle name="Texto explicativo 2" xfId="74"/>
    <cellStyle name="Título" xfId="2" builtinId="15" customBuiltin="1"/>
    <cellStyle name="Título 1" xfId="3" builtinId="16" customBuiltin="1"/>
    <cellStyle name="Título 1 2" xfId="76"/>
    <cellStyle name="Título 2" xfId="4" builtinId="17" customBuiltin="1"/>
    <cellStyle name="Título 2 2" xfId="77"/>
    <cellStyle name="Título 3" xfId="5" builtinId="18" customBuiltin="1"/>
    <cellStyle name="Título 3 2" xfId="78"/>
    <cellStyle name="Total" xfId="18" builtinId="25" customBuiltin="1"/>
    <cellStyle name="Total 2" xfId="86"/>
  </cellStyles>
  <dxfs count="0"/>
  <tableStyles count="0" defaultTableStyle="TableStyleMedium9" defaultPivotStyle="PivotStyleLight16"/>
  <colors>
    <mruColors>
      <color rgb="FF0BB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74084</xdr:colOff>
      <xdr:row>2</xdr:row>
      <xdr:rowOff>99483</xdr:rowOff>
    </xdr:from>
    <xdr:to>
      <xdr:col>13</xdr:col>
      <xdr:colOff>583707</xdr:colOff>
      <xdr:row>4</xdr:row>
      <xdr:rowOff>166842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1734" t="24812" r="4457" b="44650"/>
        <a:stretch/>
      </xdr:blipFill>
      <xdr:spPr>
        <a:xfrm>
          <a:off x="10276417" y="491066"/>
          <a:ext cx="2160623" cy="448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1"/>
  <sheetViews>
    <sheetView zoomScale="90" zoomScaleNormal="90" workbookViewId="0">
      <pane ySplit="6" topLeftCell="A67" activePane="bottomLeft" state="frozen"/>
      <selection pane="bottomLeft" activeCell="E6" sqref="E6"/>
    </sheetView>
  </sheetViews>
  <sheetFormatPr baseColWidth="10" defaultColWidth="11.42578125" defaultRowHeight="15" x14ac:dyDescent="0.25"/>
  <cols>
    <col min="1" max="1" width="1.85546875" style="80" customWidth="1"/>
    <col min="2" max="2" width="3.28515625" style="7" bestFit="1" customWidth="1"/>
    <col min="3" max="3" width="26.85546875" style="91" customWidth="1"/>
    <col min="4" max="4" width="27" style="83" customWidth="1"/>
    <col min="5" max="5" width="13.140625" style="83" customWidth="1"/>
    <col min="6" max="6" width="20.28515625" style="83" customWidth="1"/>
    <col min="7" max="7" width="11.140625" style="83" customWidth="1"/>
    <col min="8" max="8" width="11" style="83" customWidth="1"/>
    <col min="9" max="9" width="18.28515625" style="80" customWidth="1"/>
    <col min="10" max="10" width="12" style="83" customWidth="1"/>
    <col min="11" max="12" width="11.5703125" style="80" customWidth="1"/>
    <col min="13" max="13" width="13.140625" style="80" customWidth="1"/>
    <col min="14" max="14" width="14.140625" style="84" bestFit="1" customWidth="1"/>
    <col min="15" max="15" width="13" style="80" bestFit="1" customWidth="1"/>
    <col min="16" max="16384" width="11.42578125" style="80"/>
  </cols>
  <sheetData>
    <row r="1" spans="2:14" ht="15" customHeight="1" x14ac:dyDescent="0.25">
      <c r="B1" s="268" t="s">
        <v>83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2:14" ht="15.75" customHeight="1" x14ac:dyDescent="0.25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5" spans="2:14" ht="27" customHeight="1" x14ac:dyDescent="0.25">
      <c r="B5" s="270" t="s">
        <v>22</v>
      </c>
      <c r="C5" s="271"/>
      <c r="D5" s="81" t="s">
        <v>21</v>
      </c>
      <c r="E5" s="82">
        <v>79627461</v>
      </c>
    </row>
    <row r="6" spans="2:14" ht="19.5" customHeight="1" x14ac:dyDescent="0.25">
      <c r="C6" s="85"/>
      <c r="D6" s="86"/>
      <c r="E6" s="87"/>
      <c r="F6" s="88"/>
    </row>
    <row r="7" spans="2:14" x14ac:dyDescent="0.25">
      <c r="C7" s="35"/>
      <c r="D7" s="36"/>
      <c r="E7" s="36"/>
      <c r="F7" s="36"/>
      <c r="G7" s="238"/>
      <c r="H7" s="238"/>
      <c r="I7" s="238"/>
      <c r="J7" s="238"/>
      <c r="K7" s="238"/>
      <c r="L7" s="238"/>
      <c r="M7" s="238"/>
      <c r="N7" s="238"/>
    </row>
    <row r="8" spans="2:14" ht="23.25" customHeight="1" x14ac:dyDescent="0.25">
      <c r="B8" s="268" t="s">
        <v>31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</row>
    <row r="9" spans="2:14" ht="6" customHeight="1" x14ac:dyDescent="0.25">
      <c r="C9" s="8"/>
      <c r="D9" s="9"/>
      <c r="E9" s="9"/>
      <c r="F9" s="9"/>
      <c r="G9" s="9"/>
      <c r="H9" s="9"/>
      <c r="I9" s="10"/>
      <c r="J9" s="9"/>
      <c r="K9" s="10"/>
      <c r="L9" s="10"/>
      <c r="M9" s="10"/>
      <c r="N9" s="11"/>
    </row>
    <row r="10" spans="2:14" x14ac:dyDescent="0.25">
      <c r="B10" s="197" t="s">
        <v>36</v>
      </c>
      <c r="C10" s="198" t="s">
        <v>30</v>
      </c>
      <c r="D10" s="199" t="s">
        <v>25</v>
      </c>
      <c r="E10" s="199" t="s">
        <v>17</v>
      </c>
      <c r="F10" s="199" t="s">
        <v>16</v>
      </c>
      <c r="G10" s="199" t="s">
        <v>8</v>
      </c>
      <c r="H10" s="199"/>
      <c r="I10" s="199" t="s">
        <v>6</v>
      </c>
      <c r="J10" s="199" t="s">
        <v>12</v>
      </c>
      <c r="K10" s="199" t="s">
        <v>13</v>
      </c>
      <c r="L10" s="199"/>
      <c r="M10" s="199"/>
      <c r="N10" s="242" t="s">
        <v>11</v>
      </c>
    </row>
    <row r="11" spans="2:14" x14ac:dyDescent="0.25">
      <c r="B11" s="197"/>
      <c r="C11" s="198"/>
      <c r="D11" s="199"/>
      <c r="E11" s="199"/>
      <c r="F11" s="199"/>
      <c r="G11" s="56" t="s">
        <v>9</v>
      </c>
      <c r="H11" s="56" t="s">
        <v>10</v>
      </c>
      <c r="I11" s="199"/>
      <c r="J11" s="199"/>
      <c r="K11" s="199"/>
      <c r="L11" s="199"/>
      <c r="M11" s="199"/>
      <c r="N11" s="243"/>
    </row>
    <row r="12" spans="2:14" ht="35.25" customHeight="1" x14ac:dyDescent="0.25">
      <c r="B12" s="12">
        <v>1</v>
      </c>
      <c r="C12" s="1" t="e">
        <f>IF($E$5="","",IF(ISNA(VLOOKUP($E$5,#REF!,3,0)),"",VLOOKUP($E$5,#REF!,3,0)))</f>
        <v>#REF!</v>
      </c>
      <c r="D12" s="2" t="e">
        <f>IF($E$5="","",IF(ISNA(VLOOKUP($E$5,#REF!,15,0)),"",VLOOKUP($E$5,#REF!,15,0)))</f>
        <v>#REF!</v>
      </c>
      <c r="E12" s="55" t="e">
        <f>IF($E$5="","",IF(ISNA(VLOOKUP($E$5,#REF!,13,0)),"",VLOOKUP($E$5,#REF!,13,0)))</f>
        <v>#REF!</v>
      </c>
      <c r="F12" s="55" t="e">
        <f>IF($E$5="","",IF(ISNA(VLOOKUP($E$5,#REF!,12,0)),"",VLOOKUP($E$5,#REF!,12,0)))</f>
        <v>#REF!</v>
      </c>
      <c r="G12" s="3" t="e">
        <f>IF($E$5="","",IF(ISNA(VLOOKUP($E$5,#REF!,5,0)),"",VLOOKUP($E$5,#REF!,5,0)))</f>
        <v>#REF!</v>
      </c>
      <c r="H12" s="3" t="e">
        <f>IF($E$5="","",IF(ISNA(VLOOKUP($E$5,#REF!,6,0)),"",VLOOKUP($E$5,#REF!,6,0)))</f>
        <v>#REF!</v>
      </c>
      <c r="I12" s="4" t="e">
        <f>IF($E$5="","",IF(ISNA(VLOOKUP($E$5,#REF!,9,0)),"",VLOOKUP($E$5,#REF!,9,0)))</f>
        <v>#REF!</v>
      </c>
      <c r="J12" s="5" t="e">
        <f>IF($E$5="","",IF(ISNA(VLOOKUP($E$5,#REF!,14,0)),"",VLOOKUP($E$5,#REF!,14,0)))</f>
        <v>#REF!</v>
      </c>
      <c r="K12" s="239" t="e">
        <f>IF($E$5="","",IF(ISNA(VLOOKUP($E$5,#REF!,4,0)),"",VLOOKUP($E$5,#REF!,4,0)))</f>
        <v>#REF!</v>
      </c>
      <c r="L12" s="239"/>
      <c r="M12" s="239"/>
      <c r="N12" s="6" t="e">
        <f>IF($E$5="","",IF(ISNA(VLOOKUP($E$5,#REF!,110,0)),"0",VLOOKUP($E$5,#REF!,10,0)))</f>
        <v>#REF!</v>
      </c>
    </row>
    <row r="13" spans="2:14" ht="26.25" customHeight="1" x14ac:dyDescent="0.25">
      <c r="B13" s="13"/>
      <c r="C13" s="14" t="s">
        <v>46</v>
      </c>
      <c r="D13" s="219" t="e">
        <f>IF($E$5="","",IF(ISNA(VLOOKUP($E$5,#REF!,11,)),"",VLOOKUP($E$5,#REF!,11,0)))</f>
        <v>#REF!</v>
      </c>
      <c r="E13" s="220" t="e">
        <f>IF($E$5="","",IF(ISNA(VLOOKUP($E$5,#REF!,15,0)),"",VLOOKUP($E$5,#REF!,15,0)))</f>
        <v>#REF!</v>
      </c>
      <c r="F13" s="220" t="e">
        <f>IF($E$5="","",IF(ISNA(VLOOKUP($E$5,#REF!,15,0)),"",VLOOKUP($E$5,#REF!,15,0)))</f>
        <v>#REF!</v>
      </c>
      <c r="G13" s="220" t="e">
        <f>IF($E$5="","",IF(ISNA(VLOOKUP($E$5,#REF!,15,0)),"",VLOOKUP($E$5,#REF!,15,0)))</f>
        <v>#REF!</v>
      </c>
      <c r="H13" s="220" t="e">
        <f>IF($E$5="","",IF(ISNA(VLOOKUP($E$5,#REF!,15,0)),"",VLOOKUP($E$5,#REF!,15,0)))</f>
        <v>#REF!</v>
      </c>
      <c r="I13" s="220" t="e">
        <f>IF($E$5="","",IF(ISNA(VLOOKUP($E$5,#REF!,15,0)),"",VLOOKUP($E$5,#REF!,15,0)))</f>
        <v>#REF!</v>
      </c>
      <c r="J13" s="220" t="e">
        <f>IF($E$5="","",IF(ISNA(VLOOKUP($E$5,#REF!,15,0)),"",VLOOKUP($E$5,#REF!,15,0)))</f>
        <v>#REF!</v>
      </c>
      <c r="K13" s="220" t="e">
        <f>IF($E$5="","",IF(ISNA(VLOOKUP($E$5,#REF!,15,0)),"",VLOOKUP($E$5,#REF!,15,0)))</f>
        <v>#REF!</v>
      </c>
      <c r="L13" s="220" t="e">
        <f>IF($E$5="","",IF(ISNA(VLOOKUP($E$5,#REF!,15,0)),"",VLOOKUP($E$5,#REF!,15,0)))</f>
        <v>#REF!</v>
      </c>
      <c r="M13" s="220" t="e">
        <f>IF($E$5="","",IF(ISNA(VLOOKUP($E$5,#REF!,15,0)),"",VLOOKUP($E$5,#REF!,15,0)))</f>
        <v>#REF!</v>
      </c>
      <c r="N13" s="221" t="e">
        <f>IF($E$5="","",IF(ISNA(VLOOKUP($E$5,#REF!,15,0)),"",VLOOKUP($E$5,#REF!,15,0)))</f>
        <v>#REF!</v>
      </c>
    </row>
    <row r="14" spans="2:14" x14ac:dyDescent="0.25">
      <c r="C14" s="8"/>
      <c r="D14" s="9"/>
      <c r="E14" s="9"/>
      <c r="F14" s="9"/>
      <c r="G14" s="9"/>
      <c r="H14" s="9"/>
      <c r="I14" s="10"/>
      <c r="J14" s="9"/>
      <c r="K14" s="10"/>
      <c r="L14" s="10"/>
      <c r="M14" s="10"/>
      <c r="N14" s="15"/>
    </row>
    <row r="15" spans="2:14" ht="15" customHeight="1" x14ac:dyDescent="0.25">
      <c r="B15" s="197" t="s">
        <v>36</v>
      </c>
      <c r="C15" s="198" t="s">
        <v>30</v>
      </c>
      <c r="D15" s="199" t="s">
        <v>26</v>
      </c>
      <c r="E15" s="199" t="s">
        <v>17</v>
      </c>
      <c r="F15" s="199" t="s">
        <v>16</v>
      </c>
      <c r="G15" s="199" t="s">
        <v>8</v>
      </c>
      <c r="H15" s="199"/>
      <c r="I15" s="199" t="s">
        <v>6</v>
      </c>
      <c r="J15" s="199" t="s">
        <v>12</v>
      </c>
      <c r="K15" s="199" t="s">
        <v>23</v>
      </c>
      <c r="L15" s="199"/>
      <c r="M15" s="199"/>
      <c r="N15" s="242" t="s">
        <v>11</v>
      </c>
    </row>
    <row r="16" spans="2:14" x14ac:dyDescent="0.25">
      <c r="B16" s="197"/>
      <c r="C16" s="198"/>
      <c r="D16" s="199"/>
      <c r="E16" s="199"/>
      <c r="F16" s="199"/>
      <c r="G16" s="56" t="s">
        <v>9</v>
      </c>
      <c r="H16" s="56" t="s">
        <v>10</v>
      </c>
      <c r="I16" s="199"/>
      <c r="J16" s="199"/>
      <c r="K16" s="56" t="s">
        <v>4</v>
      </c>
      <c r="L16" s="56" t="s">
        <v>2</v>
      </c>
      <c r="M16" s="16" t="s">
        <v>5</v>
      </c>
      <c r="N16" s="243"/>
    </row>
    <row r="17" spans="2:15" ht="25.5" customHeight="1" x14ac:dyDescent="0.25">
      <c r="B17" s="12">
        <v>1</v>
      </c>
      <c r="C17" s="17" t="e">
        <f>IF($E$5="","",IF(ISNA(VLOOKUP($E$5,#REF!,3,0)),"",VLOOKUP($E$5,#REF!,3,0)))</f>
        <v>#REF!</v>
      </c>
      <c r="D17" s="18" t="e">
        <f>IF($E$5="","",IF(ISNA(VLOOKUP($E$5,#REF!,14,0)),"",VLOOKUP($E$5,#REF!,14,0)))</f>
        <v>#REF!</v>
      </c>
      <c r="E17" s="61" t="e">
        <f>IF($E$5="","",IF(ISNA(VLOOKUP($E$5,#REF!,12,0)),"",VLOOKUP($E$5,#REF!,12,0)))</f>
        <v>#REF!</v>
      </c>
      <c r="F17" s="61" t="e">
        <f>IF($E$5="","",IF(ISNA(VLOOKUP($E$5,#REF!,11,0)),"",VLOOKUP($E$5,#REF!,11,0)))</f>
        <v>#REF!</v>
      </c>
      <c r="G17" s="19" t="e">
        <f>IF($E$5="","",IF(ISNA(VLOOKUP($E$5,#REF!,4,0)),"",VLOOKUP($E$5,#REF!,4,0)))</f>
        <v>#REF!</v>
      </c>
      <c r="H17" s="19" t="e">
        <f>IF($E$5="","",IF(ISNA(VLOOKUP($E$5,#REF!,5,0)),"",VLOOKUP($E$5,#REF!,5,0)))</f>
        <v>#REF!</v>
      </c>
      <c r="I17" s="20" t="e">
        <f>IF($E$5="","",IF(ISNA(VLOOKUP($E$5,#REF!,8,0)),"",VLOOKUP($E$5,#REF!,8,0)))</f>
        <v>#REF!</v>
      </c>
      <c r="J17" s="21" t="e">
        <f>IF($E$5="","",IF(ISNA(VLOOKUP($E$5,#REF!,13,0)),"",VLOOKUP($E$5,#REF!,13,0)))</f>
        <v>#REF!</v>
      </c>
      <c r="K17" s="22" t="e">
        <f>IF($E$5="","",IF(ISNA(VLOOKUP($E$5,#REF!,5,0)),"",VLOOKUP($E$5,#REF!,5,0)))</f>
        <v>#REF!</v>
      </c>
      <c r="L17" s="22" t="e">
        <f>IF($E$5="","",IF(ISNA(VLOOKUP($E$5,#REF!,3,0)),"",VLOOKUP($E$5,#REF!,3,0)))</f>
        <v>#REF!</v>
      </c>
      <c r="M17" s="61" t="e">
        <f>IF($E$5="","",IF(ISNA(VLOOKUP($E$5,#REF!,7,0)),"",VLOOKUP($E$5,#REF!,7,0)))</f>
        <v>#REF!</v>
      </c>
      <c r="N17" s="6" t="e">
        <f>IF($E$5="","",IF(ISNA(VLOOKUP($E$5,#REF!,9,0)),"0",VLOOKUP($E$5,#REF!,9,0)))</f>
        <v>#REF!</v>
      </c>
    </row>
    <row r="18" spans="2:15" ht="26.25" customHeight="1" x14ac:dyDescent="0.25">
      <c r="B18" s="13"/>
      <c r="C18" s="14" t="s">
        <v>46</v>
      </c>
      <c r="D18" s="219" t="e">
        <f>IF($E$5="","",IF(ISNA(VLOOKUP($E$5,#REF!,10,0)),"",VLOOKUP($E$5,#REF!,10,0)))</f>
        <v>#REF!</v>
      </c>
      <c r="E18" s="220" t="e">
        <f>IF($E$5="","",IF(ISNA(VLOOKUP($E$5,#REF!,14,0)),"",VLOOKUP($E$5,#REF!,14,0)))</f>
        <v>#REF!</v>
      </c>
      <c r="F18" s="220" t="e">
        <f>IF($E$5="","",IF(ISNA(VLOOKUP($E$5,#REF!,14,0)),"",VLOOKUP($E$5,#REF!,14,0)))</f>
        <v>#REF!</v>
      </c>
      <c r="G18" s="220" t="e">
        <f>IF($E$5="","",IF(ISNA(VLOOKUP($E$5,#REF!,14,0)),"",VLOOKUP($E$5,#REF!,14,0)))</f>
        <v>#REF!</v>
      </c>
      <c r="H18" s="220" t="e">
        <f>IF($E$5="","",IF(ISNA(VLOOKUP($E$5,#REF!,14,0)),"",VLOOKUP($E$5,#REF!,14,0)))</f>
        <v>#REF!</v>
      </c>
      <c r="I18" s="220" t="e">
        <f>IF($E$5="","",IF(ISNA(VLOOKUP($E$5,#REF!,14,0)),"",VLOOKUP($E$5,#REF!,14,0)))</f>
        <v>#REF!</v>
      </c>
      <c r="J18" s="220" t="e">
        <f>IF($E$5="","",IF(ISNA(VLOOKUP($E$5,#REF!,14,0)),"",VLOOKUP($E$5,#REF!,14,0)))</f>
        <v>#REF!</v>
      </c>
      <c r="K18" s="220" t="e">
        <f>IF($E$5="","",IF(ISNA(VLOOKUP($E$5,#REF!,14,0)),"",VLOOKUP($E$5,#REF!,14,0)))</f>
        <v>#REF!</v>
      </c>
      <c r="L18" s="220" t="e">
        <f>IF($E$5="","",IF(ISNA(VLOOKUP($E$5,#REF!,14,0)),"",VLOOKUP($E$5,#REF!,14,0)))</f>
        <v>#REF!</v>
      </c>
      <c r="M18" s="220" t="e">
        <f>IF($E$5="","",IF(ISNA(VLOOKUP($E$5,#REF!,14,0)),"",VLOOKUP($E$5,#REF!,14,0)))</f>
        <v>#REF!</v>
      </c>
      <c r="N18" s="221" t="e">
        <f>IF($E$5="","",IF(ISNA(VLOOKUP($E$5,#REF!,14,0)),"",VLOOKUP($E$5,#REF!,14,0)))</f>
        <v>#REF!</v>
      </c>
    </row>
    <row r="19" spans="2:15" x14ac:dyDescent="0.25">
      <c r="C19" s="8"/>
      <c r="D19" s="9"/>
      <c r="E19" s="9"/>
      <c r="F19" s="9"/>
      <c r="G19" s="9"/>
      <c r="H19" s="9"/>
      <c r="I19" s="10"/>
      <c r="J19" s="9"/>
      <c r="K19" s="10"/>
      <c r="L19" s="10"/>
      <c r="M19" s="10"/>
      <c r="N19" s="15"/>
    </row>
    <row r="20" spans="2:15" ht="15" customHeight="1" x14ac:dyDescent="0.25">
      <c r="B20" s="197" t="s">
        <v>36</v>
      </c>
      <c r="C20" s="198" t="s">
        <v>30</v>
      </c>
      <c r="D20" s="199" t="s">
        <v>84</v>
      </c>
      <c r="E20" s="199" t="s">
        <v>17</v>
      </c>
      <c r="F20" s="199" t="s">
        <v>16</v>
      </c>
      <c r="G20" s="199" t="s">
        <v>8</v>
      </c>
      <c r="H20" s="199"/>
      <c r="I20" s="199" t="s">
        <v>6</v>
      </c>
      <c r="J20" s="199" t="s">
        <v>12</v>
      </c>
      <c r="K20" s="247" t="s">
        <v>85</v>
      </c>
      <c r="L20" s="248"/>
      <c r="M20" s="249"/>
      <c r="N20" s="242" t="s">
        <v>11</v>
      </c>
    </row>
    <row r="21" spans="2:15" x14ac:dyDescent="0.25">
      <c r="B21" s="197"/>
      <c r="C21" s="198"/>
      <c r="D21" s="199"/>
      <c r="E21" s="199"/>
      <c r="F21" s="199"/>
      <c r="G21" s="56" t="s">
        <v>9</v>
      </c>
      <c r="H21" s="56" t="s">
        <v>10</v>
      </c>
      <c r="I21" s="199"/>
      <c r="J21" s="199"/>
      <c r="K21" s="250"/>
      <c r="L21" s="251"/>
      <c r="M21" s="252"/>
      <c r="N21" s="243"/>
    </row>
    <row r="22" spans="2:15" ht="25.5" customHeight="1" x14ac:dyDescent="0.25">
      <c r="B22" s="12">
        <v>1</v>
      </c>
      <c r="C22" s="17" t="e">
        <f>IF($E$5="","",IF(ISNA(VLOOKUP($E$5,#REF!,3,0)),"",VLOOKUP($E$5,#REF!,3,0)))</f>
        <v>#REF!</v>
      </c>
      <c r="D22" s="61" t="e">
        <f>IF($E$5="","",IF(ISNA(VLOOKUP($E$5,#REF!,15,0)),"",VLOOKUP($E$5,#REF!,15,0)))</f>
        <v>#REF!</v>
      </c>
      <c r="E22" s="61" t="e">
        <f>IF($E$5="","",IF(ISNA(VLOOKUP($E$5,#REF!,13,0)),"",VLOOKUP($E$5,#REF!,13,0)))</f>
        <v>#REF!</v>
      </c>
      <c r="F22" s="61" t="e">
        <f>IF($E$5="","",IF(ISNA(VLOOKUP($E$5,#REF!,12,0)),"",VLOOKUP($E$5,#REF!,12,0)))</f>
        <v>#REF!</v>
      </c>
      <c r="G22" s="19" t="e">
        <f>IF($E$5="","",IF(ISNA(VLOOKUP($E$5,#REF!,5,0)),"",VLOOKUP($E$5,#REF!,5,0)))</f>
        <v>#REF!</v>
      </c>
      <c r="H22" s="19" t="e">
        <f>IF($E$5="","",IF(ISNA(VLOOKUP($E$5,#REF!,6,0)),"",VLOOKUP($E$5,#REF!,6,0)))</f>
        <v>#REF!</v>
      </c>
      <c r="I22" s="20" t="e">
        <f>IF($E$5="","",IF(ISNA(VLOOKUP($E$5,#REF!,9,0)),"",VLOOKUP($E$5,#REF!,9,0)))</f>
        <v>#REF!</v>
      </c>
      <c r="J22" s="21" t="e">
        <f>IF($E$5="","",IF(ISNA(VLOOKUP($E$5,#REF!,14,0)),"",VLOOKUP($E$5,#REF!,14,0)))</f>
        <v>#REF!</v>
      </c>
      <c r="K22" s="244" t="e">
        <f>IF($E$5="","",IF(ISNA(VLOOKUP($E$5,#REF!,4,0)),"",VLOOKUP($E$5,#REF!,4,0)))</f>
        <v>#REF!</v>
      </c>
      <c r="L22" s="245"/>
      <c r="M22" s="246"/>
      <c r="N22" s="6" t="e">
        <f>IF($E$5="","",IF(ISNA(VLOOKUP($E$5,#REF!,10,0)),"0",VLOOKUP($E$5,#REF!,10,0)))</f>
        <v>#REF!</v>
      </c>
    </row>
    <row r="23" spans="2:15" x14ac:dyDescent="0.25">
      <c r="C23" s="8"/>
      <c r="D23" s="9"/>
      <c r="E23" s="9"/>
      <c r="F23" s="9"/>
      <c r="G23" s="9"/>
      <c r="H23" s="9"/>
      <c r="I23" s="10"/>
      <c r="J23" s="9"/>
      <c r="K23" s="10"/>
      <c r="L23" s="10"/>
      <c r="M23" s="10"/>
      <c r="N23" s="15"/>
    </row>
    <row r="24" spans="2:15" x14ac:dyDescent="0.25">
      <c r="C24" s="8"/>
      <c r="D24" s="9"/>
      <c r="E24" s="9"/>
      <c r="F24" s="9"/>
      <c r="G24" s="9"/>
      <c r="H24" s="9"/>
      <c r="I24" s="10"/>
      <c r="J24" s="9"/>
      <c r="K24" s="10"/>
      <c r="L24" s="10"/>
      <c r="M24" s="10"/>
      <c r="N24" s="15"/>
    </row>
    <row r="25" spans="2:15" ht="15" customHeight="1" x14ac:dyDescent="0.25">
      <c r="B25" s="258" t="s">
        <v>36</v>
      </c>
      <c r="C25" s="218" t="s">
        <v>30</v>
      </c>
      <c r="D25" s="218" t="s">
        <v>32</v>
      </c>
      <c r="E25" s="218" t="s">
        <v>17</v>
      </c>
      <c r="F25" s="218" t="s">
        <v>16</v>
      </c>
      <c r="G25" s="218" t="s">
        <v>8</v>
      </c>
      <c r="H25" s="218"/>
      <c r="I25" s="218" t="s">
        <v>6</v>
      </c>
      <c r="J25" s="218" t="s">
        <v>12</v>
      </c>
      <c r="K25" s="218" t="s">
        <v>15</v>
      </c>
      <c r="L25" s="218"/>
      <c r="M25" s="218"/>
      <c r="N25" s="232" t="s">
        <v>11</v>
      </c>
    </row>
    <row r="26" spans="2:15" x14ac:dyDescent="0.25">
      <c r="B26" s="258"/>
      <c r="C26" s="218"/>
      <c r="D26" s="218"/>
      <c r="E26" s="218"/>
      <c r="F26" s="218"/>
      <c r="G26" s="63" t="s">
        <v>9</v>
      </c>
      <c r="H26" s="63" t="s">
        <v>10</v>
      </c>
      <c r="I26" s="218"/>
      <c r="J26" s="218"/>
      <c r="K26" s="218"/>
      <c r="L26" s="218"/>
      <c r="M26" s="218"/>
      <c r="N26" s="233"/>
    </row>
    <row r="27" spans="2:15" ht="24" customHeight="1" x14ac:dyDescent="0.25">
      <c r="B27" s="24">
        <v>1</v>
      </c>
      <c r="C27" s="25" t="str">
        <f>IFERROR(VLOOKUP($B27,'Vida Libre Inversión'!B3:$F$133,4,0),"")</f>
        <v/>
      </c>
      <c r="D27" s="2" t="str">
        <f>IFERROR(VLOOKUP($B27,'Vida Libre Inversión'!B3:$F$133,15,0),"")</f>
        <v/>
      </c>
      <c r="E27" s="55" t="str">
        <f>IFERROR(VLOOKUP($B27,'Vida Libre Inversión'!B3:$F$133,14,0),"")</f>
        <v/>
      </c>
      <c r="F27" s="55" t="str">
        <f>IFERROR(VLOOKUP($B27,'Vida Libre Inversión'!B3:$F$133,12,0),"")</f>
        <v/>
      </c>
      <c r="G27" s="3" t="str">
        <f>IFERROR(VLOOKUP($B27,'Vida Libre Inversión'!B3:$F$133,5,0),"")</f>
        <v/>
      </c>
      <c r="H27" s="3" t="str">
        <f>IFERROR(VLOOKUP($B27,'Vida Libre Inversión'!B3:$F$133,6,0),"")</f>
        <v/>
      </c>
      <c r="I27" s="4" t="str">
        <f>IFERROR(VLOOKUP($B27,'Vida Libre Inversión'!B3:$F$133,9,0),"")</f>
        <v/>
      </c>
      <c r="J27" s="5" t="str">
        <f>IFERROR(VLOOKUP($B27,'Vida Libre Inversión'!B3:$F$133,13,0),"")</f>
        <v/>
      </c>
      <c r="K27" s="219" t="str">
        <f>IFERROR(VLOOKUP($B27,'Vida Libre Inversión'!B3:$F$133,11,0),"")</f>
        <v/>
      </c>
      <c r="L27" s="220"/>
      <c r="M27" s="221"/>
      <c r="N27" s="23" t="str">
        <f>IFERROR(VLOOKUP($B27,'Vida Libre Inversión'!B3:$F$133,10,0),"0")</f>
        <v>0</v>
      </c>
    </row>
    <row r="28" spans="2:15" x14ac:dyDescent="0.25">
      <c r="B28" s="24">
        <v>2</v>
      </c>
      <c r="C28" s="25" t="str">
        <f>IFERROR(VLOOKUP($B28,'Vida Libre Inversión'!B53:$F$133,4,0),"")</f>
        <v/>
      </c>
      <c r="D28" s="2" t="str">
        <f>IFERROR(VLOOKUP($B28,'Vida Libre Inversión'!B53:$F$133,15,0),"")</f>
        <v/>
      </c>
      <c r="E28" s="55" t="str">
        <f>IFERROR(VLOOKUP($B28,'Vida Libre Inversión'!B53:$F$133,14,0),"")</f>
        <v/>
      </c>
      <c r="F28" s="55" t="str">
        <f>IFERROR(VLOOKUP($B28,'Vida Libre Inversión'!B53:$F$133,12,0),"")</f>
        <v/>
      </c>
      <c r="G28" s="3" t="str">
        <f>IFERROR(VLOOKUP($B28,'Vida Libre Inversión'!B53:$F$133,5,0),"")</f>
        <v/>
      </c>
      <c r="H28" s="3" t="str">
        <f>IFERROR(VLOOKUP($B28,'Vida Libre Inversión'!B53:$F$133,6,0),"")</f>
        <v/>
      </c>
      <c r="I28" s="4" t="str">
        <f>IFERROR(VLOOKUP($B28,'Vida Libre Inversión'!B53:$F$133,9,0),"")</f>
        <v/>
      </c>
      <c r="J28" s="5" t="str">
        <f>IFERROR(VLOOKUP($B28,'Vida Libre Inversión'!B53:$F$133,13,0),"")</f>
        <v/>
      </c>
      <c r="K28" s="219" t="str">
        <f>IFERROR(VLOOKUP($B28,'Vida Libre Inversión'!B53:$F$133,11,0),"")</f>
        <v/>
      </c>
      <c r="L28" s="220"/>
      <c r="M28" s="221"/>
      <c r="N28" s="23" t="str">
        <f>IFERROR(VLOOKUP($B28,'Vida Libre Inversión'!B53:$F$133,10,0),"0")</f>
        <v>0</v>
      </c>
    </row>
    <row r="29" spans="2:15" x14ac:dyDescent="0.25">
      <c r="B29" s="24">
        <v>3</v>
      </c>
      <c r="C29" s="25" t="str">
        <f>IFERROR(VLOOKUP($B29,'Vida Libre Inversión'!B53:$F$133,4,0),"")</f>
        <v/>
      </c>
      <c r="D29" s="2" t="str">
        <f>IFERROR(VLOOKUP($B29,'Vida Libre Inversión'!B53:$F$133,15,0),"")</f>
        <v/>
      </c>
      <c r="E29" s="55" t="str">
        <f>IFERROR(VLOOKUP($B29,'Vida Libre Inversión'!B53:$F$133,14,0),"")</f>
        <v/>
      </c>
      <c r="F29" s="55" t="str">
        <f>IFERROR(VLOOKUP($B29,'Vida Libre Inversión'!B53:$F$133,12,0),"")</f>
        <v/>
      </c>
      <c r="G29" s="3" t="str">
        <f>IFERROR(VLOOKUP($B29,'Vida Libre Inversión'!B53:$F$133,5,0),"")</f>
        <v/>
      </c>
      <c r="H29" s="3" t="str">
        <f>IFERROR(VLOOKUP($B29,'Vida Libre Inversión'!B53:$F$133,6,0),"")</f>
        <v/>
      </c>
      <c r="I29" s="4" t="str">
        <f>IFERROR(VLOOKUP($B29,'Vida Libre Inversión'!B53:$F$133,9,0),"")</f>
        <v/>
      </c>
      <c r="J29" s="5" t="str">
        <f>IFERROR(VLOOKUP($B29,'Vida Libre Inversión'!B53:$F$133,13,0),"")</f>
        <v/>
      </c>
      <c r="K29" s="219" t="str">
        <f>IFERROR(VLOOKUP($B29,'Vida Libre Inversión'!B53:$F$133,11,0),"")</f>
        <v/>
      </c>
      <c r="L29" s="220"/>
      <c r="M29" s="221"/>
      <c r="N29" s="23" t="str">
        <f>IFERROR(VLOOKUP($B29,'Vida Libre Inversión'!B53:$F$133,10,0),"0")</f>
        <v>0</v>
      </c>
    </row>
    <row r="30" spans="2:15" x14ac:dyDescent="0.25">
      <c r="B30" s="24">
        <v>4</v>
      </c>
      <c r="C30" s="25" t="str">
        <f>IFERROR(VLOOKUP($B30,'Vida Libre Inversión'!B54:$F$133,4,0),"")</f>
        <v/>
      </c>
      <c r="D30" s="2" t="str">
        <f>IFERROR(VLOOKUP($B30,'Vida Libre Inversión'!B54:$F$133,15,0),"")</f>
        <v/>
      </c>
      <c r="E30" s="55" t="str">
        <f>IFERROR(VLOOKUP($B30,'Vida Libre Inversión'!B54:$F$133,14,0),"")</f>
        <v/>
      </c>
      <c r="F30" s="55" t="str">
        <f>IFERROR(VLOOKUP($B30,'Vida Libre Inversión'!B54:$F$133,12,0),"")</f>
        <v/>
      </c>
      <c r="G30" s="3" t="str">
        <f>IFERROR(VLOOKUP($B30,'Vida Libre Inversión'!B54:$F$133,5,0),"")</f>
        <v/>
      </c>
      <c r="H30" s="3" t="str">
        <f>IFERROR(VLOOKUP($B30,'Vida Libre Inversión'!B54:$F$133,6,0),"")</f>
        <v/>
      </c>
      <c r="I30" s="4" t="str">
        <f>IFERROR(VLOOKUP($B30,'Vida Libre Inversión'!B54:$F$57,9,0),"")</f>
        <v/>
      </c>
      <c r="J30" s="5" t="str">
        <f>IFERROR(VLOOKUP($B30,'Vida Libre Inversión'!B54:$F$133,13,0),"")</f>
        <v/>
      </c>
      <c r="K30" s="219" t="str">
        <f>IFERROR(VLOOKUP($B30,'Vida Libre Inversión'!B54:$F$133,11,0),"")</f>
        <v/>
      </c>
      <c r="L30" s="220"/>
      <c r="M30" s="221"/>
      <c r="N30" s="23" t="str">
        <f>IFERROR(VLOOKUP($B30,'Vida Libre Inversión'!B54:$F$133,10,0),"0")</f>
        <v>0</v>
      </c>
      <c r="O30" s="89"/>
    </row>
    <row r="31" spans="2:15" x14ac:dyDescent="0.25">
      <c r="B31" s="24">
        <v>5</v>
      </c>
      <c r="C31" s="25" t="str">
        <f>IFERROR(VLOOKUP($B31,'Vida Libre Inversión'!B43:$F$133,4,0),"")</f>
        <v/>
      </c>
      <c r="D31" s="2" t="str">
        <f>IFERROR(VLOOKUP($B31,'Vida Libre Inversión'!B43:$F$133,15,0),"")</f>
        <v/>
      </c>
      <c r="E31" s="55" t="str">
        <f>IFERROR(VLOOKUP($B31,'Vida Libre Inversión'!B43:$F$133,14,0),"")</f>
        <v/>
      </c>
      <c r="F31" s="55" t="str">
        <f>IFERROR(VLOOKUP($B31,'Vida Libre Inversión'!B43:$F$133,12,0),"")</f>
        <v/>
      </c>
      <c r="G31" s="3" t="str">
        <f>IFERROR(VLOOKUP($B31,'Vida Libre Inversión'!B43:$F$133,5,0),"")</f>
        <v/>
      </c>
      <c r="H31" s="3" t="str">
        <f>IFERROR(VLOOKUP($B31,'Vida Libre Inversión'!B43:$F$133,6,0),"")</f>
        <v/>
      </c>
      <c r="I31" s="4" t="str">
        <f>IFERROR(VLOOKUP($B31,'Vida Libre Inversión'!B43:$F$133,9,0),"")</f>
        <v/>
      </c>
      <c r="J31" s="5" t="str">
        <f>IFERROR(VLOOKUP($B31,'Vida Libre Inversión'!B43:$F$133,13,0),"")</f>
        <v/>
      </c>
      <c r="K31" s="222" t="str">
        <f>IFERROR(VLOOKUP($B31,'Vida Libre Inversión'!B43:$F$133,11,0),"")</f>
        <v/>
      </c>
      <c r="L31" s="223"/>
      <c r="M31" s="224"/>
      <c r="N31" s="23" t="str">
        <f>IFERROR(VLOOKUP($B31,'Vida Libre Inversión'!B43:$F$133,10,0),"0")</f>
        <v>0</v>
      </c>
    </row>
    <row r="32" spans="2:15" x14ac:dyDescent="0.25">
      <c r="B32" s="24">
        <v>6</v>
      </c>
      <c r="C32" s="25" t="str">
        <f>IFERROR(VLOOKUP($B32,'Vida Libre Inversión'!B43:$F$133,4,0),"")</f>
        <v/>
      </c>
      <c r="D32" s="2" t="str">
        <f>IFERROR(VLOOKUP($B32,'Vida Libre Inversión'!B43:$F$133,15,0),"")</f>
        <v/>
      </c>
      <c r="E32" s="55" t="str">
        <f>IFERROR(VLOOKUP($B32,'Vida Libre Inversión'!B43:$F$133,14,0),"")</f>
        <v/>
      </c>
      <c r="F32" s="55" t="str">
        <f>IFERROR(VLOOKUP($B32,'Vida Libre Inversión'!B43:$F$133,12,0),"")</f>
        <v/>
      </c>
      <c r="G32" s="3" t="str">
        <f>IFERROR(VLOOKUP($B32,'Vida Libre Inversión'!B43:$F$133,5,0),"")</f>
        <v/>
      </c>
      <c r="H32" s="3" t="str">
        <f>IFERROR(VLOOKUP($B32,'Vida Libre Inversión'!B43:$F$133,6,0),"")</f>
        <v/>
      </c>
      <c r="I32" s="4" t="str">
        <f>IFERROR(VLOOKUP($B32,'Vida Libre Inversión'!B43:$F$133,9,0),"")</f>
        <v/>
      </c>
      <c r="J32" s="5" t="str">
        <f>IFERROR(VLOOKUP($B32,'Vida Libre Inversión'!B43:$F$133,13,0),"")</f>
        <v/>
      </c>
      <c r="K32" s="222" t="str">
        <f>IFERROR(VLOOKUP($B32,'Vida Libre Inversión'!B43:$F$133,11,0),"")</f>
        <v/>
      </c>
      <c r="L32" s="223"/>
      <c r="M32" s="224"/>
      <c r="N32" s="23" t="str">
        <f>IFERROR(VLOOKUP($B32,'Vida Libre Inversión'!B43:$F$133,10,0),"0")</f>
        <v>0</v>
      </c>
    </row>
    <row r="33" spans="2:14" x14ac:dyDescent="0.25">
      <c r="B33" s="24">
        <v>7</v>
      </c>
      <c r="C33" s="25" t="str">
        <f>IFERROR(VLOOKUP($B33,'Vida Libre Inversión'!B43:$F$133,4,0),"")</f>
        <v/>
      </c>
      <c r="D33" s="2" t="str">
        <f>IFERROR(VLOOKUP($B33,'Vida Libre Inversión'!B43:$F$133,15,0),"")</f>
        <v/>
      </c>
      <c r="E33" s="55" t="str">
        <f>IFERROR(VLOOKUP($B33,'Vida Libre Inversión'!B43:$F$133,14,0),"")</f>
        <v/>
      </c>
      <c r="F33" s="55" t="str">
        <f>IFERROR(VLOOKUP($B33,'Vida Libre Inversión'!B43:$F$133,12,0),"")</f>
        <v/>
      </c>
      <c r="G33" s="3" t="str">
        <f>IFERROR(VLOOKUP($B33,'Vida Libre Inversión'!B43:$F$133,5,0),"")</f>
        <v/>
      </c>
      <c r="H33" s="3" t="str">
        <f>IFERROR(VLOOKUP($B33,'Vida Libre Inversión'!B43:$F$133,6,0),"")</f>
        <v/>
      </c>
      <c r="I33" s="4" t="str">
        <f>IFERROR(VLOOKUP($B33,'Vida Libre Inversión'!B43:$F$133,9,0),"")</f>
        <v/>
      </c>
      <c r="J33" s="5" t="str">
        <f>IFERROR(VLOOKUP($B33,'Vida Libre Inversión'!B43:$F$133,13,0),"")</f>
        <v/>
      </c>
      <c r="K33" s="222" t="str">
        <f>IFERROR(VLOOKUP($B33,'Vida Libre Inversión'!B43:$F$133,11,0),"")</f>
        <v/>
      </c>
      <c r="L33" s="223"/>
      <c r="M33" s="224"/>
      <c r="N33" s="23" t="str">
        <f>IFERROR(VLOOKUP($B33,'Vida Libre Inversión'!B43:$F$133,10,0),"0")</f>
        <v>0</v>
      </c>
    </row>
    <row r="34" spans="2:14" x14ac:dyDescent="0.25">
      <c r="B34" s="24">
        <v>8</v>
      </c>
      <c r="C34" s="25" t="str">
        <f>IFERROR(VLOOKUP($B34,'Vida Libre Inversión'!B44:$F$133,4,0),"")</f>
        <v/>
      </c>
      <c r="D34" s="2" t="str">
        <f>IFERROR(VLOOKUP($B34,'Vida Libre Inversión'!B44:$F$133,15,0),"")</f>
        <v/>
      </c>
      <c r="E34" s="55" t="str">
        <f>IFERROR(VLOOKUP($B34,'Vida Libre Inversión'!B44:$F$133,14,0),"")</f>
        <v/>
      </c>
      <c r="F34" s="55" t="str">
        <f>IFERROR(VLOOKUP($B34,'Vida Libre Inversión'!B44:$F$133,12,0),"")</f>
        <v/>
      </c>
      <c r="G34" s="3" t="str">
        <f>IFERROR(VLOOKUP($B34,'Vida Libre Inversión'!B44:$F$133,5,0),"")</f>
        <v/>
      </c>
      <c r="H34" s="3" t="str">
        <f>IFERROR(VLOOKUP($B34,'Vida Libre Inversión'!B44:$F$133,6,0),"")</f>
        <v/>
      </c>
      <c r="I34" s="4" t="str">
        <f>IFERROR(VLOOKUP($B34,'Vida Libre Inversión'!B44:$F$133,9,0),"")</f>
        <v/>
      </c>
      <c r="J34" s="5" t="str">
        <f>IFERROR(VLOOKUP($B34,'Vida Libre Inversión'!B44:$F$133,13,0),"")</f>
        <v/>
      </c>
      <c r="K34" s="222" t="str">
        <f>IFERROR(VLOOKUP($B34,'Vida Libre Inversión'!B44:$F$133,11,0),"")</f>
        <v/>
      </c>
      <c r="L34" s="223"/>
      <c r="M34" s="224"/>
      <c r="N34" s="23" t="str">
        <f>IFERROR(VLOOKUP($B34,'Vida Libre Inversión'!B44:$F$133,10,0),"")</f>
        <v/>
      </c>
    </row>
    <row r="35" spans="2:14" x14ac:dyDescent="0.25">
      <c r="C35" s="8"/>
      <c r="D35" s="9" t="str">
        <f>IFERROR(VLOOKUP($B35,'Vida Libre Inversión'!B34:$F$133,4,0),"")</f>
        <v/>
      </c>
      <c r="E35" s="9"/>
      <c r="F35" s="9"/>
      <c r="G35" s="9"/>
      <c r="H35" s="9"/>
      <c r="I35" s="10"/>
      <c r="J35" s="9"/>
      <c r="K35" s="10"/>
      <c r="L35" s="10"/>
      <c r="M35" s="10"/>
      <c r="N35" s="15"/>
    </row>
    <row r="36" spans="2:14" x14ac:dyDescent="0.25">
      <c r="B36" s="225" t="s">
        <v>36</v>
      </c>
      <c r="C36" s="225" t="s">
        <v>30</v>
      </c>
      <c r="D36" s="225" t="s">
        <v>27</v>
      </c>
      <c r="E36" s="225" t="s">
        <v>17</v>
      </c>
      <c r="F36" s="225" t="s">
        <v>19</v>
      </c>
      <c r="G36" s="225" t="s">
        <v>8</v>
      </c>
      <c r="H36" s="225"/>
      <c r="I36" s="225" t="s">
        <v>6</v>
      </c>
      <c r="J36" s="225" t="s">
        <v>12</v>
      </c>
      <c r="K36" s="225" t="s">
        <v>24</v>
      </c>
      <c r="L36" s="225" t="s">
        <v>13</v>
      </c>
      <c r="M36" s="225"/>
      <c r="N36" s="240" t="s">
        <v>11</v>
      </c>
    </row>
    <row r="37" spans="2:14" x14ac:dyDescent="0.25">
      <c r="B37" s="225"/>
      <c r="C37" s="225"/>
      <c r="D37" s="225"/>
      <c r="E37" s="225"/>
      <c r="F37" s="225"/>
      <c r="G37" s="59" t="s">
        <v>9</v>
      </c>
      <c r="H37" s="59" t="s">
        <v>10</v>
      </c>
      <c r="I37" s="225"/>
      <c r="J37" s="225"/>
      <c r="K37" s="225"/>
      <c r="L37" s="225"/>
      <c r="M37" s="225"/>
      <c r="N37" s="241"/>
    </row>
    <row r="38" spans="2:14" ht="33.75" customHeight="1" x14ac:dyDescent="0.25">
      <c r="B38" s="24">
        <v>1</v>
      </c>
      <c r="C38" s="25" t="e">
        <f>IF($E$5="","",IF(ISNA(VLOOKUP($E$5,#REF!,4,0)),"",VLOOKUP($E$5,#REF!,4,0)))</f>
        <v>#REF!</v>
      </c>
      <c r="D38" s="61" t="e">
        <f>IF($E$5="","",IF(ISNA(VLOOKUP($E$5,#REF!,16,0)),"",VLOOKUP($E$5,#REF!,16,0)))</f>
        <v>#REF!</v>
      </c>
      <c r="E38" s="61" t="e">
        <f>IF($E$5="","",IF(ISNA(VLOOKUP($E$5,#REF!,14,0)),"",VLOOKUP($E$5,#REF!,14,0)))</f>
        <v>#REF!</v>
      </c>
      <c r="F38" s="61" t="e">
        <f>IF($E$5="","",IF(ISNA(VLOOKUP($E$5,#REF!,13,0)),"",VLOOKUP($E$5,#REF!,13,0)))</f>
        <v>#REF!</v>
      </c>
      <c r="G38" s="19" t="e">
        <f>IF($E$5="","",IF(ISNA(VLOOKUP($E$5,#REF!,7,0)),"",VLOOKUP($E$5,#REF!,7,0)))</f>
        <v>#REF!</v>
      </c>
      <c r="H38" s="19" t="e">
        <f>IF($E$5="","",IF(ISNA(VLOOKUP($E$5,#REF!,8,0)),"",VLOOKUP($E$5,#REF!,8,0)))</f>
        <v>#REF!</v>
      </c>
      <c r="I38" s="20" t="e">
        <f>IF($E$5="","",IF(ISNA(VLOOKUP($E$5,#REF!,11,0)),"",VLOOKUP($E$5,#REF!,11,0)))</f>
        <v>#REF!</v>
      </c>
      <c r="J38" s="21" t="e">
        <f>IF($E$5="","",IF(ISNA(VLOOKUP($E$5,#REF!,15,0)),"",VLOOKUP($E$5,#REF!,15,0)))</f>
        <v>#REF!</v>
      </c>
      <c r="K38" s="60" t="e">
        <f>IF($E$5="","",IF(ISNA(VLOOKUP($E$5,#REF!,2,0)),"",VLOOKUP($E$5,#REF!,2,0)))</f>
        <v>#REF!</v>
      </c>
      <c r="L38" s="226" t="e">
        <f>IF($E$5="","",IF(ISNA(VLOOKUP($E$5,#REF!,5,0)),"",VLOOKUP($E$5,#REF!,5,0)))</f>
        <v>#REF!</v>
      </c>
      <c r="M38" s="227"/>
      <c r="N38" s="23" t="e">
        <f>IF($E$5="","",IF(ISNA(VLOOKUP($E$5,#REF!,12,0)),"0",VLOOKUP($E$5,#REF!,12,0)))</f>
        <v>#REF!</v>
      </c>
    </row>
    <row r="39" spans="2:14" x14ac:dyDescent="0.25">
      <c r="C39" s="8"/>
      <c r="D39" s="9"/>
      <c r="E39" s="9"/>
      <c r="F39" s="9"/>
      <c r="G39" s="9"/>
      <c r="H39" s="9"/>
      <c r="I39" s="10"/>
      <c r="J39" s="9"/>
      <c r="K39" s="10"/>
      <c r="L39" s="10"/>
      <c r="M39" s="10"/>
      <c r="N39" s="15"/>
    </row>
    <row r="40" spans="2:14" ht="15" customHeight="1" x14ac:dyDescent="0.25">
      <c r="B40" s="228" t="s">
        <v>36</v>
      </c>
      <c r="C40" s="229" t="s">
        <v>30</v>
      </c>
      <c r="D40" s="228" t="s">
        <v>28</v>
      </c>
      <c r="E40" s="228" t="s">
        <v>17</v>
      </c>
      <c r="F40" s="228" t="s">
        <v>16</v>
      </c>
      <c r="G40" s="228" t="s">
        <v>8</v>
      </c>
      <c r="H40" s="228"/>
      <c r="I40" s="228" t="s">
        <v>6</v>
      </c>
      <c r="J40" s="228" t="s">
        <v>12</v>
      </c>
      <c r="K40" s="228" t="s">
        <v>14</v>
      </c>
      <c r="L40" s="228"/>
      <c r="M40" s="228"/>
      <c r="N40" s="259" t="s">
        <v>11</v>
      </c>
    </row>
    <row r="41" spans="2:14" x14ac:dyDescent="0.25">
      <c r="B41" s="228"/>
      <c r="C41" s="229"/>
      <c r="D41" s="228"/>
      <c r="E41" s="228"/>
      <c r="F41" s="228"/>
      <c r="G41" s="57" t="s">
        <v>9</v>
      </c>
      <c r="H41" s="57" t="s">
        <v>10</v>
      </c>
      <c r="I41" s="228"/>
      <c r="J41" s="228"/>
      <c r="K41" s="57" t="s">
        <v>2</v>
      </c>
      <c r="L41" s="57" t="s">
        <v>3</v>
      </c>
      <c r="M41" s="57" t="s">
        <v>4</v>
      </c>
      <c r="N41" s="260"/>
    </row>
    <row r="42" spans="2:14" ht="24" customHeight="1" x14ac:dyDescent="0.25">
      <c r="B42" s="12">
        <v>1</v>
      </c>
      <c r="C42" s="25" t="e">
        <f>IF($E$5="","",IF(ISNA(VLOOKUP($E$5,#REF!,2,0)),"",VLOOKUP($E$5,#REF!,2,0)))</f>
        <v>#REF!</v>
      </c>
      <c r="D42" s="61" t="e">
        <f>IF($E$5="","",IF(ISNA(VLOOKUP($E$5,#REF!,20,0)),"",VLOOKUP($E$5,#REF!,20,0)))</f>
        <v>#REF!</v>
      </c>
      <c r="E42" s="61" t="e">
        <f>IF($E$5="","",IF(ISNA(VLOOKUP($E$5,#REF!,19,0)),"",VLOOKUP($E$5,#REF!,19,0)))</f>
        <v>#REF!</v>
      </c>
      <c r="F42" s="17" t="e">
        <f>IF($E$5="","",IF(ISNA(VLOOKUP($E$5,#REF!,18,0)),"",VLOOKUP($E$5,#REF!,18,0)))</f>
        <v>#REF!</v>
      </c>
      <c r="G42" s="19" t="e">
        <f>IF($E$5="","",IF(ISNA(VLOOKUP($E$5,#REF!,11,0)),"",VLOOKUP($E$5,#REF!,11,0)))</f>
        <v>#REF!</v>
      </c>
      <c r="H42" s="19" t="e">
        <f>IF($E$5="","",IF(ISNA(VLOOKUP($E$5,#REF!,12,0)),"",VLOOKUP($E$5,#REF!,12,0)))</f>
        <v>#REF!</v>
      </c>
      <c r="I42" s="20" t="e">
        <f>IF($E$5="","",IF(ISNA(VLOOKUP($E$5,#REF!,10,0)),"",VLOOKUP($E$5,#REF!,10,0)))</f>
        <v>#REF!</v>
      </c>
      <c r="J42" s="21" t="e">
        <f>IF($E$5="","",IF(ISNA(VLOOKUP($E$5,#REF!,15,0)),"",VLOOKUP($E$5,#REF!,15,0)))</f>
        <v>#REF!</v>
      </c>
      <c r="K42" s="61" t="e">
        <f>IF($E$5="","",IF(ISNA(VLOOKUP($E$5,#REF!,3,0)),"",VLOOKUP($E$5,#REF!,3,0)))</f>
        <v>#REF!</v>
      </c>
      <c r="L42" s="61" t="e">
        <f>IF($E$5="","",IF(ISNA(VLOOKUP($E$5,#REF!,4,0)),"",VLOOKUP($E$5,#REF!,4,0)))</f>
        <v>#REF!</v>
      </c>
      <c r="M42" s="61" t="e">
        <f>IF($E$5="","",IF(ISNA(VLOOKUP($E$5,#REF!,5,0)),"",VLOOKUP($E$5,#REF!,5,0)))</f>
        <v>#REF!</v>
      </c>
      <c r="N42" s="23" t="e">
        <f>IF($E$5="","",IF(ISNA(VLOOKUP($E$5,#REF!,17,0)),"0",VLOOKUP($E$5,#REF!,17,0)))</f>
        <v>#REF!</v>
      </c>
    </row>
    <row r="43" spans="2:14" x14ac:dyDescent="0.25">
      <c r="C43" s="8"/>
      <c r="D43" s="9"/>
      <c r="E43" s="9"/>
      <c r="F43" s="9"/>
      <c r="G43" s="9"/>
      <c r="H43" s="9"/>
      <c r="I43" s="10"/>
      <c r="J43" s="9"/>
      <c r="K43" s="10"/>
      <c r="L43" s="10"/>
      <c r="M43" s="10"/>
      <c r="N43" s="15"/>
    </row>
    <row r="44" spans="2:14" ht="15" customHeight="1" x14ac:dyDescent="0.25">
      <c r="B44" s="228" t="s">
        <v>36</v>
      </c>
      <c r="C44" s="229" t="s">
        <v>30</v>
      </c>
      <c r="D44" s="228" t="s">
        <v>29</v>
      </c>
      <c r="E44" s="228" t="s">
        <v>17</v>
      </c>
      <c r="F44" s="228" t="s">
        <v>16</v>
      </c>
      <c r="G44" s="228" t="s">
        <v>8</v>
      </c>
      <c r="H44" s="228"/>
      <c r="I44" s="228" t="s">
        <v>6</v>
      </c>
      <c r="J44" s="228" t="s">
        <v>12</v>
      </c>
      <c r="K44" s="228" t="s">
        <v>14</v>
      </c>
      <c r="L44" s="228"/>
      <c r="M44" s="228"/>
      <c r="N44" s="259" t="s">
        <v>11</v>
      </c>
    </row>
    <row r="45" spans="2:14" x14ac:dyDescent="0.25">
      <c r="B45" s="228"/>
      <c r="C45" s="229"/>
      <c r="D45" s="228"/>
      <c r="E45" s="228"/>
      <c r="F45" s="228"/>
      <c r="G45" s="57" t="s">
        <v>9</v>
      </c>
      <c r="H45" s="57" t="s">
        <v>10</v>
      </c>
      <c r="I45" s="228"/>
      <c r="J45" s="228"/>
      <c r="K45" s="57" t="s">
        <v>2</v>
      </c>
      <c r="L45" s="57" t="s">
        <v>3</v>
      </c>
      <c r="M45" s="57" t="s">
        <v>4</v>
      </c>
      <c r="N45" s="260"/>
    </row>
    <row r="46" spans="2:14" ht="24" customHeight="1" x14ac:dyDescent="0.25">
      <c r="B46" s="12">
        <v>1</v>
      </c>
      <c r="C46" s="25" t="e">
        <f>IF($E$5="","",IF(ISNA(VLOOKUP($E$5,#REF!,2,0)),"",VLOOKUP($E$5,#REF!,2,0)))</f>
        <v>#REF!</v>
      </c>
      <c r="D46" s="26" t="e">
        <f>IF($E$5="","",IF(ISNA(VLOOKUP($E$5,#REF!,20,0)),"",VLOOKUP($E$5,#REF!,20,0)))</f>
        <v>#REF!</v>
      </c>
      <c r="E46" s="61" t="e">
        <f>IF($E$5="","",IF(ISNA(VLOOKUP($E$5,#REF!,19,0)),"",VLOOKUP($E$5,#REF!,19,0)))</f>
        <v>#REF!</v>
      </c>
      <c r="F46" s="17" t="e">
        <f>IF($E$5="","",IF(ISNA(VLOOKUP($E$5,#REF!,18,0)),"",VLOOKUP($E$5,#REF!,18,0)))</f>
        <v>#REF!</v>
      </c>
      <c r="G46" s="19" t="e">
        <f>IF($E$5="","",IF(ISNA(VLOOKUP($E$5,#REF!,11,0)),"",VLOOKUP($E$5,#REF!,11,0)))</f>
        <v>#REF!</v>
      </c>
      <c r="H46" s="19" t="e">
        <f>IF($E$5="","",IF(ISNA(VLOOKUP($E$5,#REF!,12,0)),"",VLOOKUP($E$5,#REF!,12,0)))</f>
        <v>#REF!</v>
      </c>
      <c r="I46" s="20" t="e">
        <f>IF($E$5="","",IF(ISNA(VLOOKUP($E$5,#REF!,10,0)),"",VLOOKUP($E$5,#REF!,10,0)))</f>
        <v>#REF!</v>
      </c>
      <c r="J46" s="21" t="e">
        <f>IF($E$5="","",IF(ISNA(VLOOKUP($E$5,#REF!,15,0)),"",VLOOKUP($E$5,#REF!,15,0)))</f>
        <v>#REF!</v>
      </c>
      <c r="K46" s="17" t="e">
        <f>IF($E$5="","",IF(ISNA(VLOOKUP($E$5,#REF!,3,0)),"",VLOOKUP($E$5,#REF!,3,0)))</f>
        <v>#REF!</v>
      </c>
      <c r="L46" s="17" t="e">
        <f>IF($E$5="","",IF(ISNA(VLOOKUP($E$5,#REF!,4,0)),"",VLOOKUP($E$5,#REF!,4,0)))</f>
        <v>#REF!</v>
      </c>
      <c r="M46" s="17" t="e">
        <f>IF($E$5="","",IF(ISNA(VLOOKUP($E$5,#REF!,5,0)),"",VLOOKUP($E$5,#REF!,5,0)))</f>
        <v>#REF!</v>
      </c>
      <c r="N46" s="23" t="e">
        <f>IF($E$5="","",IF(ISNA(VLOOKUP($E$5,#REF!,17,0)),"0",VLOOKUP($E$5,#REF!,17,0)))</f>
        <v>#REF!</v>
      </c>
    </row>
    <row r="47" spans="2:14" ht="24" customHeight="1" x14ac:dyDescent="0.25">
      <c r="B47" s="12">
        <v>2</v>
      </c>
      <c r="C47" s="25" t="e">
        <f>IF($E$5="","",IF(ISNA(VLOOKUP($E$5,#REF!,2,0)),"",VLOOKUP($E$5,#REF!,2,0)))</f>
        <v>#REF!</v>
      </c>
      <c r="D47" s="62" t="e">
        <f>IF($E$5="","",IF(ISNA(VLOOKUP($E$5,#REF!,20,0)),"",VLOOKUP($E$5,#REF!,20,0)))</f>
        <v>#REF!</v>
      </c>
      <c r="E47" s="62" t="e">
        <f>IF($E$5="","",IF(ISNA(VLOOKUP($E$5,#REF!,19,0)),"",VLOOKUP($E$5,#REF!,19,0)))</f>
        <v>#REF!</v>
      </c>
      <c r="F47" s="27" t="e">
        <f>IF($E$5="","",IF(ISNA(VLOOKUP($E$5,#REF!,18,0)),"",VLOOKUP($E$5,#REF!,18,0)))</f>
        <v>#REF!</v>
      </c>
      <c r="G47" s="28" t="e">
        <f>IF($E$5="","",IF(ISNA(VLOOKUP($E$5,#REF!,11,0)),"",VLOOKUP($E$5,#REF!,11,0)))</f>
        <v>#REF!</v>
      </c>
      <c r="H47" s="28" t="e">
        <f>IF($E$5="","",IF(ISNA(VLOOKUP($E$5,#REF!,12,0)),"",VLOOKUP($E$5,#REF!,12,0)))</f>
        <v>#REF!</v>
      </c>
      <c r="I47" s="29" t="e">
        <f>IF($E$5="","",IF(ISNA(VLOOKUP($E$5,#REF!,10,0)),"",VLOOKUP($E$5,#REF!,10,0)))</f>
        <v>#REF!</v>
      </c>
      <c r="J47" s="30" t="e">
        <f>IF($E$5="","",IF(ISNA(VLOOKUP($E$5,#REF!,15,0)),"",VLOOKUP($E$5,#REF!,15,0)))</f>
        <v>#REF!</v>
      </c>
      <c r="K47" s="27" t="e">
        <f>IF($E$5="","",IF(ISNA(VLOOKUP($E$5,#REF!,3,0)),"",VLOOKUP($E$5,#REF!,3,0)))</f>
        <v>#REF!</v>
      </c>
      <c r="L47" s="27" t="e">
        <f>IF($E$5="","",IF(ISNA(VLOOKUP($E$5,#REF!,4,0)),"",VLOOKUP($E$5,#REF!,4,0)))</f>
        <v>#REF!</v>
      </c>
      <c r="M47" s="27" t="e">
        <f>IF($E$5="","",IF(ISNA(VLOOKUP($E$5,#REF!,5,0)),"",VLOOKUP($E$5,#REF!,5,0)))</f>
        <v>#REF!</v>
      </c>
      <c r="N47" s="31" t="e">
        <f>IF($E$5="","",IF(ISNA(VLOOKUP($E$5,#REF!,17,0)),"0",VLOOKUP($E$5,#REF!,17,0)))</f>
        <v>#REF!</v>
      </c>
    </row>
    <row r="48" spans="2:14" x14ac:dyDescent="0.25">
      <c r="C48" s="8"/>
      <c r="D48" s="9"/>
      <c r="E48" s="9"/>
      <c r="F48" s="9"/>
      <c r="G48" s="9"/>
      <c r="H48" s="9"/>
      <c r="I48" s="10"/>
      <c r="J48" s="9"/>
      <c r="K48" s="10"/>
      <c r="L48" s="10"/>
      <c r="M48" s="10"/>
      <c r="N48" s="15"/>
    </row>
    <row r="49" spans="2:14" ht="24" customHeight="1" x14ac:dyDescent="0.25">
      <c r="B49" s="235" t="s">
        <v>36</v>
      </c>
      <c r="C49" s="234" t="s">
        <v>38</v>
      </c>
      <c r="D49" s="235" t="s">
        <v>34</v>
      </c>
      <c r="E49" s="235" t="s">
        <v>17</v>
      </c>
      <c r="F49" s="235" t="s">
        <v>16</v>
      </c>
      <c r="G49" s="235" t="s">
        <v>8</v>
      </c>
      <c r="H49" s="235"/>
      <c r="I49" s="235" t="s">
        <v>39</v>
      </c>
      <c r="J49" s="235" t="s">
        <v>44</v>
      </c>
      <c r="K49" s="236" t="s">
        <v>40</v>
      </c>
      <c r="L49" s="236" t="s">
        <v>41</v>
      </c>
      <c r="M49" s="236" t="s">
        <v>42</v>
      </c>
      <c r="N49" s="230" t="s">
        <v>43</v>
      </c>
    </row>
    <row r="50" spans="2:14" x14ac:dyDescent="0.25">
      <c r="B50" s="235"/>
      <c r="C50" s="234"/>
      <c r="D50" s="235"/>
      <c r="E50" s="235"/>
      <c r="F50" s="235"/>
      <c r="G50" s="58" t="s">
        <v>9</v>
      </c>
      <c r="H50" s="58" t="s">
        <v>10</v>
      </c>
      <c r="I50" s="235"/>
      <c r="J50" s="235"/>
      <c r="K50" s="237"/>
      <c r="L50" s="237"/>
      <c r="M50" s="237"/>
      <c r="N50" s="231"/>
    </row>
    <row r="51" spans="2:14" ht="23.25" customHeight="1" x14ac:dyDescent="0.25">
      <c r="B51" s="12">
        <v>1</v>
      </c>
      <c r="C51" s="25" t="str">
        <f>IFERROR(VLOOKUP($B51,#REF!,3,0),"")</f>
        <v/>
      </c>
      <c r="D51" s="2" t="str">
        <f>IFERROR(VLOOKUP($B$51,#REF!,16,0),"")</f>
        <v/>
      </c>
      <c r="E51" s="2" t="str">
        <f>IFERROR(VLOOKUP($B$51,#REF!,17,0),"")</f>
        <v/>
      </c>
      <c r="F51" s="2" t="str">
        <f>IFERROR(VLOOKUP($B$51,#REF!,18,0),"")</f>
        <v/>
      </c>
      <c r="G51" s="32" t="str">
        <f>IFERROR(VLOOKUP($B$51,#REF!,19,0),"")</f>
        <v/>
      </c>
      <c r="H51" s="32" t="str">
        <f>IFERROR(VLOOKUP($B$51,#REF!,20,0),"")</f>
        <v/>
      </c>
      <c r="I51" s="32" t="str">
        <f>IFERROR(VLOOKUP($B$51,#REF!,6,0),"")</f>
        <v/>
      </c>
      <c r="J51" s="33" t="str">
        <f>IFERROR(VLOOKUP($B$51,#REF!,9,0),"")</f>
        <v/>
      </c>
      <c r="K51" s="33" t="str">
        <f>IFERROR(VLOOKUP($B$51,#REF!,7,0),"")</f>
        <v/>
      </c>
      <c r="L51" s="33" t="str">
        <f>IFERROR(VLOOKUP($B$51,#REF!,8,0),"")</f>
        <v/>
      </c>
      <c r="M51" s="33" t="str">
        <f>IFERROR(VLOOKUP($B$51,#REF!,10,0),"")</f>
        <v/>
      </c>
      <c r="N51" s="64" t="str">
        <f>IFERROR(VLOOKUP($B$51,#REF!,11,0),"0")</f>
        <v>0</v>
      </c>
    </row>
    <row r="52" spans="2:14" ht="23.25" customHeight="1" x14ac:dyDescent="0.25">
      <c r="B52" s="12">
        <v>2</v>
      </c>
      <c r="C52" s="25" t="str">
        <f>IFERROR(VLOOKUP($B52,#REF!,3,0),"")</f>
        <v/>
      </c>
      <c r="D52" s="55" t="str">
        <f>IFERROR(VLOOKUP($B$52,#REF!,16,0),"")</f>
        <v/>
      </c>
      <c r="E52" s="55" t="str">
        <f>IFERROR(VLOOKUP($B$52,#REF!,17,0),"")</f>
        <v/>
      </c>
      <c r="F52" s="55" t="str">
        <f>IFERROR(VLOOKUP($B$52,#REF!,18,0),"")</f>
        <v/>
      </c>
      <c r="G52" s="3" t="str">
        <f>IFERROR(VLOOKUP($B$52,#REF!,19,0),"")</f>
        <v/>
      </c>
      <c r="H52" s="3" t="str">
        <f>IFERROR(VLOOKUP($B$52,#REF!,20,0),"")</f>
        <v/>
      </c>
      <c r="I52" s="3" t="str">
        <f>IFERROR(VLOOKUP($B$52,#REF!,6,0),"")</f>
        <v/>
      </c>
      <c r="J52" s="34"/>
      <c r="K52" s="34" t="str">
        <f>IFERROR(VLOOKUP($B$52,#REF!,7,0),"")</f>
        <v/>
      </c>
      <c r="L52" s="34" t="str">
        <f>IFERROR(VLOOKUP($B$52,#REF!,8,0),"")</f>
        <v/>
      </c>
      <c r="M52" s="34" t="str">
        <f>IFERROR(VLOOKUP($B$52,#REF!,10,0),"")</f>
        <v/>
      </c>
      <c r="N52" s="64"/>
    </row>
    <row r="53" spans="2:14" ht="23.25" customHeight="1" x14ac:dyDescent="0.25">
      <c r="B53" s="12">
        <v>3</v>
      </c>
      <c r="C53" s="25" t="str">
        <f>IFERROR(VLOOKUP($B53,#REF!,3,0),"")</f>
        <v/>
      </c>
      <c r="D53" s="55" t="str">
        <f>IFERROR(VLOOKUP($B$53,#REF!,16,0),"")</f>
        <v/>
      </c>
      <c r="E53" s="55" t="str">
        <f>IFERROR(VLOOKUP($B$53,#REF!,17,0),"")</f>
        <v/>
      </c>
      <c r="F53" s="55" t="str">
        <f>IFERROR(VLOOKUP($B$53,#REF!,18,0),"")</f>
        <v/>
      </c>
      <c r="G53" s="3" t="str">
        <f>IFERROR(VLOOKUP($B$53,#REF!,19,0),"")</f>
        <v/>
      </c>
      <c r="H53" s="3" t="str">
        <f>IFERROR(VLOOKUP($B$53,#REF!,20,0),"")</f>
        <v/>
      </c>
      <c r="I53" s="3" t="str">
        <f>IFERROR(VLOOKUP($B$53,#REF!,6,0),"")</f>
        <v/>
      </c>
      <c r="J53" s="34"/>
      <c r="K53" s="34" t="str">
        <f>IFERROR(VLOOKUP($B$53,#REF!,7,0),"")</f>
        <v/>
      </c>
      <c r="L53" s="34" t="str">
        <f>IFERROR(VLOOKUP($B$53,#REF!,8,0),"")</f>
        <v/>
      </c>
      <c r="M53" s="34" t="str">
        <f>IFERROR(VLOOKUP($B$53,#REF!,10,0),"")</f>
        <v/>
      </c>
      <c r="N53" s="64"/>
    </row>
    <row r="54" spans="2:14" ht="23.25" customHeight="1" x14ac:dyDescent="0.25">
      <c r="B54" s="12">
        <v>4</v>
      </c>
      <c r="C54" s="25" t="str">
        <f>IFERROR(VLOOKUP($B54,#REF!,3,0),"")</f>
        <v/>
      </c>
      <c r="D54" s="55" t="str">
        <f>IFERROR(VLOOKUP($B$54,#REF!,16,0),"")</f>
        <v/>
      </c>
      <c r="E54" s="55" t="str">
        <f>IFERROR(VLOOKUP($B$54,#REF!,17,0),"")</f>
        <v/>
      </c>
      <c r="F54" s="55" t="str">
        <f>IFERROR(VLOOKUP($B$54,#REF!,18,0),"")</f>
        <v/>
      </c>
      <c r="G54" s="3" t="str">
        <f>IFERROR(VLOOKUP($B$54,#REF!,19,0),"")</f>
        <v/>
      </c>
      <c r="H54" s="3" t="str">
        <f>IFERROR(VLOOKUP($B$54,#REF!,20,0),"")</f>
        <v/>
      </c>
      <c r="I54" s="3" t="str">
        <f>IFERROR(VLOOKUP($B$54,#REF!,6,0),"")</f>
        <v/>
      </c>
      <c r="J54" s="34"/>
      <c r="K54" s="34" t="str">
        <f>IFERROR(VLOOKUP($B$54,#REF!,7,0),"")</f>
        <v/>
      </c>
      <c r="L54" s="34" t="str">
        <f>IFERROR(VLOOKUP($B$54,#REF!,8,0),"")</f>
        <v/>
      </c>
      <c r="M54" s="34" t="str">
        <f>IFERROR(VLOOKUP($B$54,#REF!,10,0),"")</f>
        <v/>
      </c>
      <c r="N54" s="64"/>
    </row>
    <row r="55" spans="2:14" ht="23.25" customHeight="1" x14ac:dyDescent="0.25">
      <c r="B55" s="12">
        <v>5</v>
      </c>
      <c r="C55" s="25" t="str">
        <f>IFERROR(VLOOKUP($B55,#REF!,3,0),"")</f>
        <v/>
      </c>
      <c r="D55" s="55" t="str">
        <f>IFERROR(VLOOKUP($B$55,#REF!,16,0),"")</f>
        <v/>
      </c>
      <c r="E55" s="55" t="str">
        <f>IFERROR(VLOOKUP($B$55,#REF!,17,0),"")</f>
        <v/>
      </c>
      <c r="F55" s="55" t="str">
        <f>IFERROR(VLOOKUP($B$55,#REF!,18,0),"")</f>
        <v/>
      </c>
      <c r="G55" s="3" t="str">
        <f>IFERROR(VLOOKUP($B$55,#REF!,19,0),"")</f>
        <v/>
      </c>
      <c r="H55" s="3" t="str">
        <f>IFERROR(VLOOKUP($B$55,#REF!,20,0),"")</f>
        <v/>
      </c>
      <c r="I55" s="3" t="str">
        <f>IFERROR(VLOOKUP($B$55,#REF!,6,0),"")</f>
        <v/>
      </c>
      <c r="J55" s="34"/>
      <c r="K55" s="34" t="str">
        <f>IFERROR(VLOOKUP($B$55,#REF!,7,0),"")</f>
        <v/>
      </c>
      <c r="L55" s="34" t="str">
        <f>IFERROR(VLOOKUP($B$55,#REF!,8,0),"")</f>
        <v/>
      </c>
      <c r="M55" s="34" t="str">
        <f>IFERROR(VLOOKUP($B$55,#REF!,10,0),"")</f>
        <v/>
      </c>
      <c r="N55" s="23"/>
    </row>
    <row r="56" spans="2:14" ht="23.25" customHeight="1" x14ac:dyDescent="0.25">
      <c r="B56" s="12">
        <v>6</v>
      </c>
      <c r="C56" s="25" t="str">
        <f>IFERROR(VLOOKUP($B56,#REF!,3,0),"")</f>
        <v/>
      </c>
      <c r="D56" s="55" t="str">
        <f>IFERROR(VLOOKUP($B$56,#REF!,16,0),"")</f>
        <v/>
      </c>
      <c r="E56" s="55" t="str">
        <f>IFERROR(VLOOKUP($B$56,#REF!,17,0),"")</f>
        <v/>
      </c>
      <c r="F56" s="55" t="str">
        <f>IFERROR(VLOOKUP($B$56,#REF!,18,0),"")</f>
        <v/>
      </c>
      <c r="G56" s="3" t="str">
        <f>IFERROR(VLOOKUP($B$56,#REF!,19,0),"")</f>
        <v/>
      </c>
      <c r="H56" s="3" t="str">
        <f>IFERROR(VLOOKUP($B$56,#REF!,20,0),"")</f>
        <v/>
      </c>
      <c r="I56" s="3" t="str">
        <f>IFERROR(VLOOKUP($B$56,#REF!,6,0),"")</f>
        <v/>
      </c>
      <c r="J56" s="34"/>
      <c r="K56" s="34" t="str">
        <f>IFERROR(VLOOKUP($B$56,#REF!,7,0),"")</f>
        <v/>
      </c>
      <c r="L56" s="34" t="str">
        <f>IFERROR(VLOOKUP($B$56,#REF!,8,0),"")</f>
        <v/>
      </c>
      <c r="M56" s="34" t="str">
        <f>IFERROR(VLOOKUP($B$56,#REF!,10,0),"")</f>
        <v/>
      </c>
      <c r="N56" s="23"/>
    </row>
    <row r="57" spans="2:14" ht="23.25" customHeight="1" x14ac:dyDescent="0.25">
      <c r="B57" s="12">
        <v>7</v>
      </c>
      <c r="C57" s="25" t="str">
        <f>IFERROR(VLOOKUP($B57,#REF!,3,0),"")</f>
        <v/>
      </c>
      <c r="D57" s="55" t="str">
        <f>IFERROR(VLOOKUP($B$57,#REF!,16,0),"")</f>
        <v/>
      </c>
      <c r="E57" s="55" t="str">
        <f>IFERROR(VLOOKUP($B$57,#REF!,17,0),"")</f>
        <v/>
      </c>
      <c r="F57" s="55" t="str">
        <f>IFERROR(VLOOKUP($B$57,#REF!,18,0),"")</f>
        <v/>
      </c>
      <c r="G57" s="3" t="str">
        <f>IFERROR(VLOOKUP($B$56,#REF!,19,0),"")</f>
        <v/>
      </c>
      <c r="H57" s="3" t="str">
        <f>IFERROR(VLOOKUP($B$56,#REF!,20,0),"")</f>
        <v/>
      </c>
      <c r="I57" s="3" t="str">
        <f>IFERROR(VLOOKUP($B$56,#REF!,6,0),"")</f>
        <v/>
      </c>
      <c r="J57" s="34"/>
      <c r="K57" s="34" t="str">
        <f>IFERROR(VLOOKUP($B$56,#REF!,7,0),"")</f>
        <v/>
      </c>
      <c r="L57" s="34" t="str">
        <f>IFERROR(VLOOKUP($B$56,#REF!,8,0),"")</f>
        <v/>
      </c>
      <c r="M57" s="34" t="str">
        <f>IFERROR(VLOOKUP($B$56,#REF!,10,0),"")</f>
        <v/>
      </c>
      <c r="N57" s="23"/>
    </row>
    <row r="58" spans="2:14" ht="15.75" thickBot="1" x14ac:dyDescent="0.3">
      <c r="C58" s="35"/>
      <c r="D58" s="36"/>
      <c r="E58" s="36"/>
      <c r="F58" s="36"/>
      <c r="G58" s="36"/>
      <c r="H58" s="36"/>
      <c r="I58" s="37"/>
      <c r="J58" s="36"/>
      <c r="K58" s="37"/>
      <c r="L58" s="37"/>
      <c r="M58" s="37"/>
      <c r="N58" s="38"/>
    </row>
    <row r="59" spans="2:14" ht="15.75" thickBot="1" x14ac:dyDescent="0.3">
      <c r="C59" s="35"/>
      <c r="D59" s="36"/>
      <c r="E59" s="36"/>
      <c r="F59" s="36"/>
      <c r="G59" s="36"/>
      <c r="H59" s="36"/>
      <c r="I59" s="216" t="s">
        <v>33</v>
      </c>
      <c r="J59" s="217"/>
      <c r="K59" s="217"/>
      <c r="L59" s="217"/>
      <c r="M59" s="217"/>
      <c r="N59" s="39" t="str">
        <f>IF(ISERROR(N12+N17+N22+N27+N28+N29+N30+N31+N32+N33+N38+N42+N46+N47+N51),"",(N12+N17+N22+N27+N28+N29+N30+N31+N32+N33+N38+N42+N46+N47+N51))</f>
        <v/>
      </c>
    </row>
    <row r="60" spans="2:14" x14ac:dyDescent="0.25">
      <c r="C60" s="35"/>
      <c r="D60" s="36"/>
      <c r="E60" s="36"/>
      <c r="F60" s="36"/>
      <c r="G60" s="36"/>
      <c r="H60" s="36"/>
      <c r="I60" s="37"/>
      <c r="J60" s="36"/>
      <c r="K60" s="37"/>
      <c r="L60" s="37"/>
      <c r="M60" s="37"/>
      <c r="N60" s="38"/>
    </row>
    <row r="61" spans="2:14" ht="15.75" thickBot="1" x14ac:dyDescent="0.3">
      <c r="C61" s="35"/>
      <c r="D61" s="36"/>
      <c r="E61" s="36"/>
      <c r="F61" s="36"/>
      <c r="G61" s="36"/>
      <c r="H61" s="36"/>
      <c r="I61" s="37"/>
      <c r="J61" s="36"/>
      <c r="K61" s="37"/>
      <c r="L61" s="37"/>
      <c r="M61" s="37"/>
      <c r="N61" s="38"/>
    </row>
    <row r="62" spans="2:14" ht="25.5" customHeight="1" x14ac:dyDescent="0.25">
      <c r="C62" s="200" t="s">
        <v>35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2"/>
    </row>
    <row r="63" spans="2:14" ht="15.75" thickBot="1" x14ac:dyDescent="0.3">
      <c r="C63" s="40"/>
      <c r="D63" s="41"/>
      <c r="E63" s="41"/>
      <c r="F63" s="41"/>
      <c r="G63" s="41"/>
      <c r="H63" s="41"/>
      <c r="I63" s="42"/>
      <c r="J63" s="41"/>
      <c r="K63" s="42"/>
      <c r="L63" s="42"/>
      <c r="M63" s="42"/>
      <c r="N63" s="43"/>
    </row>
    <row r="64" spans="2:14" ht="15" customHeight="1" x14ac:dyDescent="0.25">
      <c r="C64" s="203" t="s">
        <v>1</v>
      </c>
      <c r="D64" s="205" t="s">
        <v>51</v>
      </c>
      <c r="E64" s="207" t="s">
        <v>81</v>
      </c>
      <c r="F64" s="207" t="s">
        <v>0</v>
      </c>
      <c r="G64" s="209" t="s">
        <v>18</v>
      </c>
      <c r="H64" s="209"/>
      <c r="I64" s="207" t="s">
        <v>45</v>
      </c>
      <c r="J64" s="207" t="s">
        <v>7</v>
      </c>
      <c r="K64" s="210" t="s">
        <v>47</v>
      </c>
      <c r="L64" s="211"/>
      <c r="M64" s="210" t="s">
        <v>48</v>
      </c>
      <c r="N64" s="214"/>
    </row>
    <row r="65" spans="2:14" x14ac:dyDescent="0.25">
      <c r="C65" s="204"/>
      <c r="D65" s="206"/>
      <c r="E65" s="208"/>
      <c r="F65" s="208"/>
      <c r="G65" s="44" t="s">
        <v>9</v>
      </c>
      <c r="H65" s="44" t="s">
        <v>10</v>
      </c>
      <c r="I65" s="208"/>
      <c r="J65" s="208"/>
      <c r="K65" s="212"/>
      <c r="L65" s="213"/>
      <c r="M65" s="212"/>
      <c r="N65" s="215"/>
    </row>
    <row r="66" spans="2:14" ht="46.5" customHeight="1" x14ac:dyDescent="0.25">
      <c r="C66" s="45" t="e">
        <f>IF($E$5="","",IF(ISNA(VLOOKUP($E$5,#REF!,2,0)),"",VLOOKUP($E$5,#REF!,2,0)))</f>
        <v>#REF!</v>
      </c>
      <c r="D66" s="55" t="e">
        <f>IF($E$5="","",IF(ISNA(VLOOKUP($E$5,#REF!,12,0)),"",VLOOKUP($E$5,#REF!,12,0)))</f>
        <v>#REF!</v>
      </c>
      <c r="E66" s="46" t="e">
        <f>IF($E$5="","",IF(ISNA(VLOOKUP($E$5,#REF!,4,0)),"",VLOOKUP($E$5,#REF!,4,0)))</f>
        <v>#REF!</v>
      </c>
      <c r="F66" s="3" t="e">
        <f>IF($E$5="","",IF(ISNA(VLOOKUP($E$5,#REF!,3,0)),"",VLOOKUP($E$5,#REF!,3,0)))</f>
        <v>#REF!</v>
      </c>
      <c r="G66" s="3" t="e">
        <f>IF($E$5="","",IF(ISNA(VLOOKUP($E$5,#REF!,7,0)),"",VLOOKUP($E$5,#REF!,7,0)))</f>
        <v>#REF!</v>
      </c>
      <c r="H66" s="3" t="e">
        <f>IF($E$5="","",IF(ISNA(VLOOKUP($E$5,#REF!,8,0)),"",VLOOKUP($E$5,#REF!,8,0)))</f>
        <v>#REF!</v>
      </c>
      <c r="I66" s="47" t="e">
        <f>IF($E$5="","",IF(ISNA(VLOOKUP($E$5,#REF!,5,0)),"",VLOOKUP($E$5,#REF!,5,0)))</f>
        <v>#REF!</v>
      </c>
      <c r="J66" s="47" t="e">
        <f>IF($E$5="","",IF(ISNA(VLOOKUP($E$5,#REF!,6,0)),"",VLOOKUP($E$5,#REF!,6,0)))</f>
        <v>#REF!</v>
      </c>
      <c r="K66" s="239" t="e">
        <f>IF($E$5="","",IF(ISNA(VLOOKUP($E$5,#REF!,10,0)),"",VLOOKUP($E$5,#REF!,10,0)))</f>
        <v>#REF!</v>
      </c>
      <c r="L66" s="239" t="e">
        <f>IF($E$5="","",IF(ISNA(VLOOKUP($E$5,#REF!,12,0)),"",VLOOKUP($E$5,#REF!,12,0)))</f>
        <v>#REF!</v>
      </c>
      <c r="M66" s="239" t="e">
        <f>IF($E$5="","",IF(ISNA(VLOOKUP($E$5,#REF!,11,0)),"",VLOOKUP($E$5,#REF!,11,0)))</f>
        <v>#REF!</v>
      </c>
      <c r="N66" s="274" t="e">
        <f>IF($E$5="","",IF(ISNA(VLOOKUP($E$5,#REF!,12,0)),"",VLOOKUP($E$5,#REF!,12,0)))</f>
        <v>#REF!</v>
      </c>
    </row>
    <row r="67" spans="2:14" ht="30" customHeight="1" x14ac:dyDescent="0.25">
      <c r="C67" s="48" t="s">
        <v>80</v>
      </c>
      <c r="D67" s="275" t="e">
        <f>IF($E$5="","",IF(ISNA(VLOOKUP($E$5,#REF!,9,0)),"",VLOOKUP($E$5,#REF!,9,0)))</f>
        <v>#REF!</v>
      </c>
      <c r="E67" s="275" t="e">
        <f>IF($E$5="","",IF(ISNA(VLOOKUP($E$5,#REF!,12,0)),"",VLOOKUP($E$5,#REF!,12,0)))</f>
        <v>#REF!</v>
      </c>
      <c r="F67" s="199" t="s">
        <v>46</v>
      </c>
      <c r="G67" s="199"/>
      <c r="H67" s="199"/>
      <c r="I67" s="275"/>
      <c r="J67" s="275"/>
      <c r="K67" s="275"/>
      <c r="L67" s="275"/>
      <c r="M67" s="275"/>
      <c r="N67" s="276"/>
    </row>
    <row r="68" spans="2:14" x14ac:dyDescent="0.25"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5"/>
    </row>
    <row r="69" spans="2:14" s="90" customFormat="1" ht="17.25" customHeight="1" x14ac:dyDescent="0.25">
      <c r="B69" s="51"/>
      <c r="C69" s="255" t="s">
        <v>52</v>
      </c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7"/>
    </row>
    <row r="70" spans="2:14" s="90" customFormat="1" ht="12.75" x14ac:dyDescent="0.25">
      <c r="B70" s="51"/>
      <c r="C70" s="253" t="s">
        <v>53</v>
      </c>
      <c r="D70" s="254"/>
      <c r="E70" s="254"/>
      <c r="F70" s="52" t="s">
        <v>61</v>
      </c>
      <c r="G70" s="261" t="s">
        <v>59</v>
      </c>
      <c r="H70" s="262"/>
      <c r="I70" s="262"/>
      <c r="J70" s="262"/>
      <c r="K70" s="262"/>
      <c r="L70" s="263"/>
      <c r="M70" s="264">
        <v>300000</v>
      </c>
      <c r="N70" s="265"/>
    </row>
    <row r="71" spans="2:14" s="90" customFormat="1" ht="12.75" customHeight="1" x14ac:dyDescent="0.25">
      <c r="B71" s="51"/>
      <c r="C71" s="253" t="s">
        <v>54</v>
      </c>
      <c r="D71" s="254"/>
      <c r="E71" s="254"/>
      <c r="F71" s="52" t="s">
        <v>61</v>
      </c>
      <c r="G71" s="261" t="s">
        <v>60</v>
      </c>
      <c r="H71" s="262"/>
      <c r="I71" s="262"/>
      <c r="J71" s="262"/>
      <c r="K71" s="262"/>
      <c r="L71" s="263"/>
      <c r="M71" s="266" t="s">
        <v>72</v>
      </c>
      <c r="N71" s="267"/>
    </row>
    <row r="72" spans="2:14" s="90" customFormat="1" ht="12.75" customHeight="1" x14ac:dyDescent="0.25">
      <c r="B72" s="51"/>
      <c r="C72" s="253" t="s">
        <v>55</v>
      </c>
      <c r="D72" s="254"/>
      <c r="E72" s="254"/>
      <c r="F72" s="52" t="s">
        <v>61</v>
      </c>
      <c r="G72" s="261" t="s">
        <v>66</v>
      </c>
      <c r="H72" s="262"/>
      <c r="I72" s="262"/>
      <c r="J72" s="262"/>
      <c r="K72" s="262"/>
      <c r="L72" s="263"/>
      <c r="M72" s="266" t="s">
        <v>73</v>
      </c>
      <c r="N72" s="267"/>
    </row>
    <row r="73" spans="2:14" s="90" customFormat="1" ht="12.75" customHeight="1" x14ac:dyDescent="0.25">
      <c r="B73" s="51"/>
      <c r="C73" s="253" t="s">
        <v>56</v>
      </c>
      <c r="D73" s="254"/>
      <c r="E73" s="254"/>
      <c r="F73" s="52" t="s">
        <v>61</v>
      </c>
      <c r="G73" s="261" t="s">
        <v>67</v>
      </c>
      <c r="H73" s="262"/>
      <c r="I73" s="262"/>
      <c r="J73" s="262"/>
      <c r="K73" s="262"/>
      <c r="L73" s="263"/>
      <c r="M73" s="266" t="s">
        <v>74</v>
      </c>
      <c r="N73" s="267"/>
    </row>
    <row r="74" spans="2:14" s="90" customFormat="1" ht="12.75" customHeight="1" x14ac:dyDescent="0.25">
      <c r="B74" s="51"/>
      <c r="C74" s="253" t="s">
        <v>57</v>
      </c>
      <c r="D74" s="254"/>
      <c r="E74" s="254"/>
      <c r="F74" s="52" t="s">
        <v>62</v>
      </c>
      <c r="G74" s="261" t="s">
        <v>68</v>
      </c>
      <c r="H74" s="262"/>
      <c r="I74" s="262"/>
      <c r="J74" s="262"/>
      <c r="K74" s="262"/>
      <c r="L74" s="263"/>
      <c r="M74" s="266" t="s">
        <v>75</v>
      </c>
      <c r="N74" s="267"/>
    </row>
    <row r="75" spans="2:14" s="90" customFormat="1" ht="12.75" customHeight="1" x14ac:dyDescent="0.25">
      <c r="B75" s="51"/>
      <c r="C75" s="253" t="s">
        <v>58</v>
      </c>
      <c r="D75" s="254"/>
      <c r="E75" s="254"/>
      <c r="F75" s="53">
        <v>7000000</v>
      </c>
      <c r="G75" s="261" t="s">
        <v>69</v>
      </c>
      <c r="H75" s="262"/>
      <c r="I75" s="262"/>
      <c r="J75" s="262"/>
      <c r="K75" s="262"/>
      <c r="L75" s="263"/>
      <c r="M75" s="266" t="s">
        <v>76</v>
      </c>
      <c r="N75" s="267"/>
    </row>
    <row r="76" spans="2:14" s="90" customFormat="1" ht="12.75" customHeight="1" x14ac:dyDescent="0.25">
      <c r="B76" s="51"/>
      <c r="C76" s="253" t="s">
        <v>63</v>
      </c>
      <c r="D76" s="254"/>
      <c r="E76" s="254"/>
      <c r="F76" s="52" t="s">
        <v>64</v>
      </c>
      <c r="G76" s="261" t="s">
        <v>70</v>
      </c>
      <c r="H76" s="262"/>
      <c r="I76" s="262"/>
      <c r="J76" s="262"/>
      <c r="K76" s="262"/>
      <c r="L76" s="263"/>
      <c r="M76" s="264">
        <v>5000000</v>
      </c>
      <c r="N76" s="265"/>
    </row>
    <row r="77" spans="2:14" s="90" customFormat="1" ht="12.75" x14ac:dyDescent="0.25">
      <c r="B77" s="51"/>
      <c r="C77" s="253" t="s">
        <v>65</v>
      </c>
      <c r="D77" s="254"/>
      <c r="E77" s="254"/>
      <c r="F77" s="53">
        <v>300000</v>
      </c>
      <c r="G77" s="261" t="s">
        <v>71</v>
      </c>
      <c r="H77" s="262"/>
      <c r="I77" s="262"/>
      <c r="J77" s="262"/>
      <c r="K77" s="262"/>
      <c r="L77" s="263"/>
      <c r="M77" s="266" t="s">
        <v>79</v>
      </c>
      <c r="N77" s="267"/>
    </row>
    <row r="78" spans="2:14" ht="25.5" customHeight="1" thickBot="1" x14ac:dyDescent="0.3">
      <c r="C78" s="272" t="s">
        <v>82</v>
      </c>
      <c r="D78" s="273"/>
      <c r="E78" s="273"/>
      <c r="F78" s="54"/>
      <c r="G78" s="279" t="s">
        <v>77</v>
      </c>
      <c r="H78" s="280"/>
      <c r="I78" s="280"/>
      <c r="J78" s="280"/>
      <c r="K78" s="280"/>
      <c r="L78" s="281"/>
      <c r="M78" s="277" t="s">
        <v>78</v>
      </c>
      <c r="N78" s="278"/>
    </row>
    <row r="80" spans="2:14" ht="15.75" thickBot="1" x14ac:dyDescent="0.3"/>
    <row r="81" spans="2:14" ht="15" customHeight="1" x14ac:dyDescent="0.25">
      <c r="B81" s="73"/>
      <c r="C81" s="186" t="s">
        <v>20</v>
      </c>
      <c r="D81" s="188" t="s">
        <v>86</v>
      </c>
      <c r="E81" s="188" t="s">
        <v>0</v>
      </c>
      <c r="F81" s="190" t="s">
        <v>37</v>
      </c>
      <c r="G81" s="192" t="s">
        <v>18</v>
      </c>
      <c r="H81" s="192"/>
      <c r="I81" s="193" t="s">
        <v>87</v>
      </c>
      <c r="J81" s="195" t="s">
        <v>89</v>
      </c>
      <c r="K81" s="190" t="s">
        <v>90</v>
      </c>
      <c r="L81" s="193" t="s">
        <v>91</v>
      </c>
      <c r="M81" s="195" t="s">
        <v>46</v>
      </c>
      <c r="N81" s="288" t="s">
        <v>88</v>
      </c>
    </row>
    <row r="82" spans="2:14" ht="24.75" customHeight="1" thickBot="1" x14ac:dyDescent="0.3">
      <c r="B82" s="74"/>
      <c r="C82" s="187"/>
      <c r="D82" s="189"/>
      <c r="E82" s="189"/>
      <c r="F82" s="191"/>
      <c r="G82" s="66" t="s">
        <v>9</v>
      </c>
      <c r="H82" s="66" t="s">
        <v>10</v>
      </c>
      <c r="I82" s="194"/>
      <c r="J82" s="196"/>
      <c r="K82" s="191"/>
      <c r="L82" s="194"/>
      <c r="M82" s="196"/>
      <c r="N82" s="289"/>
    </row>
    <row r="83" spans="2:14" ht="15" customHeight="1" x14ac:dyDescent="0.25">
      <c r="B83" s="75">
        <v>1</v>
      </c>
      <c r="C83" s="67" t="str">
        <f>IFERROR(VLOOKUP($B83,#REF!,4,0),"")</f>
        <v/>
      </c>
      <c r="D83" s="68" t="str">
        <f>IFERROR(VLOOKUP($B83,#REF!,5,0),"")</f>
        <v/>
      </c>
      <c r="E83" s="71" t="str">
        <f>IFERROR(VLOOKUP($B83,#REF!,6,0),"")</f>
        <v/>
      </c>
      <c r="F83" s="68" t="str">
        <f>IFERROR(VLOOKUP($B83,#REF!,3,0),"")</f>
        <v/>
      </c>
      <c r="G83" s="68" t="str">
        <f>IFERROR(VLOOKUP($B83,#REF!,15,0),"")</f>
        <v/>
      </c>
      <c r="H83" s="68" t="str">
        <f>IFERROR(VLOOKUP($B83,#REF!,16,0),"")</f>
        <v/>
      </c>
      <c r="I83" s="282" t="str">
        <f>IFERROR(VLOOKUP($B83,#REF!,14,0),"")</f>
        <v/>
      </c>
      <c r="J83" s="285" t="str">
        <f>IFERROR(VLOOKUP($B83,#REF!,7,0),"")</f>
        <v/>
      </c>
      <c r="K83" s="285" t="str">
        <f>IFERROR(VLOOKUP($B83,#REF!,8,0),"")</f>
        <v/>
      </c>
      <c r="L83" s="285" t="str">
        <f>IFERROR(VLOOKUP($B83,#REF!,9,0),"")</f>
        <v/>
      </c>
      <c r="M83" s="293"/>
      <c r="N83" s="296"/>
    </row>
    <row r="84" spans="2:14" ht="15.75" customHeight="1" x14ac:dyDescent="0.25">
      <c r="B84" s="75">
        <v>2</v>
      </c>
      <c r="C84" s="69" t="str">
        <f>IFERROR(VLOOKUP($B84,#REF!,4,0),"")</f>
        <v/>
      </c>
      <c r="D84" s="70" t="str">
        <f>IFERROR(VLOOKUP($B84,#REF!,5,0),"")</f>
        <v/>
      </c>
      <c r="E84" s="72" t="str">
        <f>IFERROR(VLOOKUP($B84,#REF!,6,0),"")</f>
        <v/>
      </c>
      <c r="F84" s="70" t="str">
        <f>IFERROR(VLOOKUP($B84,#REF!,3,0),"")</f>
        <v/>
      </c>
      <c r="G84" s="70" t="str">
        <f>IFERROR(VLOOKUP($B84,#REF!,15,0),"")</f>
        <v/>
      </c>
      <c r="H84" s="70" t="str">
        <f>IFERROR(VLOOKUP($B84,#REF!,16,0),"")</f>
        <v/>
      </c>
      <c r="I84" s="283"/>
      <c r="J84" s="286"/>
      <c r="K84" s="286"/>
      <c r="L84" s="286"/>
      <c r="M84" s="294"/>
      <c r="N84" s="297"/>
    </row>
    <row r="85" spans="2:14" x14ac:dyDescent="0.25">
      <c r="B85" s="75">
        <v>3</v>
      </c>
      <c r="C85" s="69" t="str">
        <f>IFERROR(VLOOKUP($B85,#REF!,4,0),"")</f>
        <v/>
      </c>
      <c r="D85" s="70" t="str">
        <f>IFERROR(VLOOKUP($B85,#REF!,5,0),"")</f>
        <v/>
      </c>
      <c r="E85" s="72" t="str">
        <f>IFERROR(VLOOKUP($B85,#REF!,6,0),"")</f>
        <v/>
      </c>
      <c r="F85" s="70" t="str">
        <f>IFERROR(VLOOKUP($B85,#REF!,3,0),"")</f>
        <v/>
      </c>
      <c r="G85" s="70" t="str">
        <f>IFERROR(VLOOKUP($B85,#REF!,15,0),"")</f>
        <v/>
      </c>
      <c r="H85" s="70" t="str">
        <f>IFERROR(VLOOKUP($B85,#REF!,16,0),"")</f>
        <v/>
      </c>
      <c r="I85" s="283"/>
      <c r="J85" s="286"/>
      <c r="K85" s="286"/>
      <c r="L85" s="286"/>
      <c r="M85" s="294"/>
      <c r="N85" s="297"/>
    </row>
    <row r="86" spans="2:14" x14ac:dyDescent="0.25">
      <c r="B86" s="75">
        <v>4</v>
      </c>
      <c r="C86" s="69" t="str">
        <f>IFERROR(VLOOKUP($B86,#REF!,4,0),"")</f>
        <v/>
      </c>
      <c r="D86" s="70" t="str">
        <f>IFERROR(VLOOKUP($B86,#REF!,5,0),"")</f>
        <v/>
      </c>
      <c r="E86" s="72" t="str">
        <f>IFERROR(VLOOKUP($B86,#REF!,6,0),"")</f>
        <v/>
      </c>
      <c r="F86" s="70" t="str">
        <f>IFERROR(VLOOKUP($B86,#REF!,3,0),"")</f>
        <v/>
      </c>
      <c r="G86" s="70" t="str">
        <f>IFERROR(VLOOKUP($B86,#REF!,15,0),"")</f>
        <v/>
      </c>
      <c r="H86" s="70" t="str">
        <f>IFERROR(VLOOKUP($B86,#REF!,16,0),"")</f>
        <v/>
      </c>
      <c r="I86" s="283"/>
      <c r="J86" s="286"/>
      <c r="K86" s="286"/>
      <c r="L86" s="286"/>
      <c r="M86" s="294"/>
      <c r="N86" s="297"/>
    </row>
    <row r="87" spans="2:14" x14ac:dyDescent="0.25">
      <c r="B87" s="75">
        <v>5</v>
      </c>
      <c r="C87" s="69" t="str">
        <f>IFERROR(VLOOKUP($B87,#REF!,4,0),"")</f>
        <v/>
      </c>
      <c r="D87" s="70" t="str">
        <f>IFERROR(VLOOKUP($B87,#REF!,5,0),"")</f>
        <v/>
      </c>
      <c r="E87" s="72" t="str">
        <f>IFERROR(VLOOKUP($B87,#REF!,6,0),"")</f>
        <v/>
      </c>
      <c r="F87" s="70" t="str">
        <f>IFERROR(VLOOKUP($B87,#REF!,3,0),"")</f>
        <v/>
      </c>
      <c r="G87" s="70" t="str">
        <f>IFERROR(VLOOKUP($B87,#REF!,15,0),"")</f>
        <v/>
      </c>
      <c r="H87" s="70" t="str">
        <f>IFERROR(VLOOKUP($B87,#REF!,16,0),"")</f>
        <v/>
      </c>
      <c r="I87" s="283"/>
      <c r="J87" s="290" t="s">
        <v>92</v>
      </c>
      <c r="K87" s="291"/>
      <c r="L87" s="292"/>
      <c r="M87" s="294"/>
      <c r="N87" s="297"/>
    </row>
    <row r="88" spans="2:14" x14ac:dyDescent="0.25">
      <c r="B88" s="75">
        <v>6</v>
      </c>
      <c r="C88" s="69" t="str">
        <f>IFERROR(VLOOKUP($B88,#REF!,4,0),"")</f>
        <v/>
      </c>
      <c r="D88" s="70" t="str">
        <f>IFERROR(VLOOKUP($B88,#REF!,5,0),"")</f>
        <v/>
      </c>
      <c r="E88" s="72" t="str">
        <f>IFERROR(VLOOKUP($B88,#REF!,6,0),"")</f>
        <v/>
      </c>
      <c r="F88" s="70" t="str">
        <f>IFERROR(VLOOKUP($B88,#REF!,3,0),"")</f>
        <v/>
      </c>
      <c r="G88" s="70" t="str">
        <f>IFERROR(VLOOKUP($B88,#REF!,15,0),"")</f>
        <v/>
      </c>
      <c r="H88" s="70" t="str">
        <f>IFERROR(VLOOKUP($B88,#REF!,16,0),"")</f>
        <v/>
      </c>
      <c r="I88" s="283"/>
      <c r="J88" s="286" t="str">
        <f>IFERROR(VLOOKUP($B83,#REF!,10,0),"")</f>
        <v/>
      </c>
      <c r="K88" s="286" t="str">
        <f>IFERROR(VLOOKUP($B83,#REF!,11,0),"")</f>
        <v/>
      </c>
      <c r="L88" s="286" t="str">
        <f>IFERROR(VLOOKUP($B83,#REF!,12,0),"")</f>
        <v/>
      </c>
      <c r="M88" s="294"/>
      <c r="N88" s="297"/>
    </row>
    <row r="89" spans="2:14" x14ac:dyDescent="0.25">
      <c r="B89" s="75">
        <v>7</v>
      </c>
      <c r="C89" s="69" t="str">
        <f>IFERROR(VLOOKUP($B89,#REF!,4,0),"")</f>
        <v/>
      </c>
      <c r="D89" s="70" t="str">
        <f>IFERROR(VLOOKUP($B89,#REF!,5,0),"")</f>
        <v/>
      </c>
      <c r="E89" s="72" t="str">
        <f>IFERROR(VLOOKUP($B89,#REF!,6,0),"")</f>
        <v/>
      </c>
      <c r="F89" s="70" t="str">
        <f>IFERROR(VLOOKUP($B89,#REF!,3,0),"")</f>
        <v/>
      </c>
      <c r="G89" s="70" t="str">
        <f>IFERROR(VLOOKUP($B89,#REF!,15,0),"")</f>
        <v/>
      </c>
      <c r="H89" s="70" t="str">
        <f>IFERROR(VLOOKUP($B89,#REF!,16,0),"")</f>
        <v/>
      </c>
      <c r="I89" s="283"/>
      <c r="J89" s="286"/>
      <c r="K89" s="286"/>
      <c r="L89" s="286"/>
      <c r="M89" s="294"/>
      <c r="N89" s="297"/>
    </row>
    <row r="90" spans="2:14" x14ac:dyDescent="0.25">
      <c r="B90" s="75">
        <v>8</v>
      </c>
      <c r="C90" s="69" t="str">
        <f>IFERROR(VLOOKUP($B90,#REF!,4,0),"")</f>
        <v/>
      </c>
      <c r="D90" s="70" t="str">
        <f>IFERROR(VLOOKUP($B90,#REF!,5,0),"")</f>
        <v/>
      </c>
      <c r="E90" s="72" t="str">
        <f>IFERROR(VLOOKUP($B90,#REF!,6,0),"")</f>
        <v/>
      </c>
      <c r="F90" s="70" t="str">
        <f>IFERROR(VLOOKUP($B90,#REF!,3,0),"")</f>
        <v/>
      </c>
      <c r="G90" s="70" t="str">
        <f>IFERROR(VLOOKUP($B90,#REF!,15,0),"")</f>
        <v/>
      </c>
      <c r="H90" s="70" t="str">
        <f>IFERROR(VLOOKUP($B90,#REF!,16,0),"")</f>
        <v/>
      </c>
      <c r="I90" s="283"/>
      <c r="J90" s="286"/>
      <c r="K90" s="286"/>
      <c r="L90" s="286"/>
      <c r="M90" s="294"/>
      <c r="N90" s="297"/>
    </row>
    <row r="91" spans="2:14" ht="16.5" thickBot="1" x14ac:dyDescent="0.3">
      <c r="B91" s="76">
        <v>9</v>
      </c>
      <c r="C91" s="77" t="str">
        <f>IFERROR(VLOOKUP($B91,#REF!,4,0),"")</f>
        <v/>
      </c>
      <c r="D91" s="78" t="str">
        <f>IFERROR(VLOOKUP($B91,#REF!,5,0),"")</f>
        <v/>
      </c>
      <c r="E91" s="79" t="str">
        <f>IFERROR(VLOOKUP($B91,#REF!,6,0),"")</f>
        <v/>
      </c>
      <c r="F91" s="78" t="str">
        <f>IFERROR(VLOOKUP($B91,#REF!,3,0),"")</f>
        <v/>
      </c>
      <c r="G91" s="78" t="str">
        <f>IFERROR(VLOOKUP($B91,#REF!,15,0),"")</f>
        <v/>
      </c>
      <c r="H91" s="78" t="str">
        <f>IFERROR(VLOOKUP($B91,#REF!,16,0),"")</f>
        <v/>
      </c>
      <c r="I91" s="284"/>
      <c r="J91" s="287"/>
      <c r="K91" s="287"/>
      <c r="L91" s="287"/>
      <c r="M91" s="295"/>
      <c r="N91" s="92" t="str">
        <f>IFERROR(VLOOKUP($B83,#REF!,13,0),"")</f>
        <v/>
      </c>
    </row>
  </sheetData>
  <sheetProtection password="FBA3" sheet="1" objects="1" scenarios="1"/>
  <protectedRanges>
    <protectedRange sqref="E5" name="Rango1"/>
  </protectedRanges>
  <mergeCells count="165">
    <mergeCell ref="I83:I91"/>
    <mergeCell ref="J83:J86"/>
    <mergeCell ref="K83:K86"/>
    <mergeCell ref="L83:L86"/>
    <mergeCell ref="J88:J91"/>
    <mergeCell ref="K88:K91"/>
    <mergeCell ref="L88:L91"/>
    <mergeCell ref="N81:N82"/>
    <mergeCell ref="K81:K82"/>
    <mergeCell ref="L81:L82"/>
    <mergeCell ref="J87:L87"/>
    <mergeCell ref="M81:M82"/>
    <mergeCell ref="M83:M91"/>
    <mergeCell ref="N83:N90"/>
    <mergeCell ref="B1:N2"/>
    <mergeCell ref="B5:C5"/>
    <mergeCell ref="B8:N8"/>
    <mergeCell ref="D13:N13"/>
    <mergeCell ref="D18:N18"/>
    <mergeCell ref="C78:E78"/>
    <mergeCell ref="K66:L66"/>
    <mergeCell ref="M66:N66"/>
    <mergeCell ref="D67:E67"/>
    <mergeCell ref="F67:H67"/>
    <mergeCell ref="I67:N67"/>
    <mergeCell ref="M73:N73"/>
    <mergeCell ref="M74:N74"/>
    <mergeCell ref="M75:N75"/>
    <mergeCell ref="M76:N76"/>
    <mergeCell ref="M77:N77"/>
    <mergeCell ref="M78:N78"/>
    <mergeCell ref="G70:L70"/>
    <mergeCell ref="G78:L78"/>
    <mergeCell ref="C73:E73"/>
    <mergeCell ref="C74:E74"/>
    <mergeCell ref="C75:E75"/>
    <mergeCell ref="C76:E76"/>
    <mergeCell ref="C77:E77"/>
    <mergeCell ref="G71:L71"/>
    <mergeCell ref="G72:L72"/>
    <mergeCell ref="G73:L73"/>
    <mergeCell ref="G74:L74"/>
    <mergeCell ref="G75:L75"/>
    <mergeCell ref="G76:L76"/>
    <mergeCell ref="G77:L77"/>
    <mergeCell ref="M70:N70"/>
    <mergeCell ref="M71:N71"/>
    <mergeCell ref="M72:N72"/>
    <mergeCell ref="C70:E70"/>
    <mergeCell ref="C71:E71"/>
    <mergeCell ref="C72:E72"/>
    <mergeCell ref="C69:N69"/>
    <mergeCell ref="B44:B45"/>
    <mergeCell ref="B49:B50"/>
    <mergeCell ref="K34:M34"/>
    <mergeCell ref="B10:B11"/>
    <mergeCell ref="B15:B16"/>
    <mergeCell ref="B25:B26"/>
    <mergeCell ref="B36:B37"/>
    <mergeCell ref="B40:B41"/>
    <mergeCell ref="N44:N45"/>
    <mergeCell ref="C15:C16"/>
    <mergeCell ref="I10:I11"/>
    <mergeCell ref="N15:N16"/>
    <mergeCell ref="D40:D41"/>
    <mergeCell ref="G40:H40"/>
    <mergeCell ref="I40:I41"/>
    <mergeCell ref="J40:J41"/>
    <mergeCell ref="N40:N41"/>
    <mergeCell ref="K40:M40"/>
    <mergeCell ref="E40:E41"/>
    <mergeCell ref="F40:F41"/>
    <mergeCell ref="J15:J16"/>
    <mergeCell ref="I36:I37"/>
    <mergeCell ref="J36:J37"/>
    <mergeCell ref="N36:N37"/>
    <mergeCell ref="E15:E16"/>
    <mergeCell ref="F15:F16"/>
    <mergeCell ref="N10:N11"/>
    <mergeCell ref="C40:C41"/>
    <mergeCell ref="D15:D16"/>
    <mergeCell ref="G15:H15"/>
    <mergeCell ref="I15:I16"/>
    <mergeCell ref="K15:M15"/>
    <mergeCell ref="C36:C37"/>
    <mergeCell ref="D36:D37"/>
    <mergeCell ref="E36:E37"/>
    <mergeCell ref="F36:F37"/>
    <mergeCell ref="G36:H36"/>
    <mergeCell ref="N20:N21"/>
    <mergeCell ref="K22:M22"/>
    <mergeCell ref="K20:M21"/>
    <mergeCell ref="G7:N7"/>
    <mergeCell ref="J10:J11"/>
    <mergeCell ref="K10:M11"/>
    <mergeCell ref="K12:M12"/>
    <mergeCell ref="E10:E11"/>
    <mergeCell ref="F10:F11"/>
    <mergeCell ref="C10:C11"/>
    <mergeCell ref="G10:H10"/>
    <mergeCell ref="D10:D11"/>
    <mergeCell ref="C44:C45"/>
    <mergeCell ref="D44:D45"/>
    <mergeCell ref="E44:E45"/>
    <mergeCell ref="F44:F45"/>
    <mergeCell ref="G44:H44"/>
    <mergeCell ref="N49:N50"/>
    <mergeCell ref="C25:C26"/>
    <mergeCell ref="D25:D26"/>
    <mergeCell ref="E25:E26"/>
    <mergeCell ref="F25:F26"/>
    <mergeCell ref="G25:H25"/>
    <mergeCell ref="I25:I26"/>
    <mergeCell ref="J25:J26"/>
    <mergeCell ref="N25:N26"/>
    <mergeCell ref="C49:C50"/>
    <mergeCell ref="D49:D50"/>
    <mergeCell ref="E49:E50"/>
    <mergeCell ref="F49:F50"/>
    <mergeCell ref="G49:H49"/>
    <mergeCell ref="I49:I50"/>
    <mergeCell ref="J49:J50"/>
    <mergeCell ref="K49:K50"/>
    <mergeCell ref="L49:L50"/>
    <mergeCell ref="M49:M50"/>
    <mergeCell ref="M64:N65"/>
    <mergeCell ref="I59:M59"/>
    <mergeCell ref="K25:M26"/>
    <mergeCell ref="K27:M27"/>
    <mergeCell ref="K28:M28"/>
    <mergeCell ref="K29:M29"/>
    <mergeCell ref="K30:M30"/>
    <mergeCell ref="K31:M31"/>
    <mergeCell ref="K32:M32"/>
    <mergeCell ref="K33:M33"/>
    <mergeCell ref="K36:K37"/>
    <mergeCell ref="L36:M37"/>
    <mergeCell ref="L38:M38"/>
    <mergeCell ref="I44:I45"/>
    <mergeCell ref="J44:J45"/>
    <mergeCell ref="K44:M44"/>
    <mergeCell ref="C81:C82"/>
    <mergeCell ref="D81:D82"/>
    <mergeCell ref="E81:E82"/>
    <mergeCell ref="F81:F82"/>
    <mergeCell ref="G81:H81"/>
    <mergeCell ref="I81:I82"/>
    <mergeCell ref="J81:J82"/>
    <mergeCell ref="B20:B21"/>
    <mergeCell ref="C20:C21"/>
    <mergeCell ref="D20:D21"/>
    <mergeCell ref="E20:E21"/>
    <mergeCell ref="F20:F21"/>
    <mergeCell ref="G20:H20"/>
    <mergeCell ref="I20:I21"/>
    <mergeCell ref="J20:J21"/>
    <mergeCell ref="C62:N62"/>
    <mergeCell ref="C64:C65"/>
    <mergeCell ref="D64:D65"/>
    <mergeCell ref="E64:E65"/>
    <mergeCell ref="F64:F65"/>
    <mergeCell ref="G64:H64"/>
    <mergeCell ref="I64:I65"/>
    <mergeCell ref="J64:J65"/>
    <mergeCell ref="K64:L65"/>
  </mergeCells>
  <pageMargins left="0.7" right="0.7" top="0.75" bottom="0.75" header="0.3" footer="0.3"/>
  <pageSetup scale="57" orientation="landscape" r:id="rId1"/>
  <ignoredErrors>
    <ignoredError sqref="D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tabSelected="1" workbookViewId="0">
      <selection activeCell="C15" sqref="C15"/>
    </sheetView>
  </sheetViews>
  <sheetFormatPr baseColWidth="10" defaultColWidth="11.42578125" defaultRowHeight="27" customHeight="1" x14ac:dyDescent="0.2"/>
  <cols>
    <col min="1" max="1" width="11.42578125" style="94"/>
    <col min="2" max="2" width="12.7109375" style="113" bestFit="1" customWidth="1"/>
    <col min="3" max="3" width="12.85546875" style="113" customWidth="1"/>
    <col min="4" max="4" width="12.7109375" style="113" customWidth="1"/>
    <col min="5" max="5" width="12.28515625" style="121" customWidth="1"/>
    <col min="6" max="6" width="20.42578125" style="121" customWidth="1"/>
    <col min="7" max="7" width="17.28515625" style="121" customWidth="1"/>
    <col min="8" max="16384" width="11.42578125" style="94"/>
  </cols>
  <sheetData>
    <row r="1" spans="2:7" s="93" customFormat="1" ht="27" customHeight="1" x14ac:dyDescent="0.2">
      <c r="B1" s="122">
        <v>3</v>
      </c>
      <c r="C1" s="122"/>
      <c r="D1" s="122"/>
      <c r="E1" s="123"/>
      <c r="F1" s="123"/>
      <c r="G1" s="123"/>
    </row>
    <row r="3" spans="2:7" ht="27" customHeight="1" x14ac:dyDescent="0.2">
      <c r="B3" s="185" t="s">
        <v>0</v>
      </c>
      <c r="C3" s="185" t="s">
        <v>493</v>
      </c>
      <c r="D3" s="185" t="s">
        <v>458</v>
      </c>
      <c r="E3" s="185" t="s">
        <v>492</v>
      </c>
      <c r="F3" s="185" t="s">
        <v>49</v>
      </c>
      <c r="G3" s="185" t="s">
        <v>496</v>
      </c>
    </row>
    <row r="4" spans="2:7" s="95" customFormat="1" ht="27" customHeight="1" x14ac:dyDescent="0.2">
      <c r="B4" s="116">
        <v>28592</v>
      </c>
      <c r="C4" s="116">
        <f t="shared" ref="C4:C57" ca="1" si="0">TODAY()</f>
        <v>43005</v>
      </c>
      <c r="D4" s="124">
        <f t="shared" ref="D4:D17" ca="1" si="1">INT((C4-B4)/365)</f>
        <v>39</v>
      </c>
      <c r="E4" s="126" t="s">
        <v>495</v>
      </c>
      <c r="F4" s="126" t="s">
        <v>95</v>
      </c>
      <c r="G4" s="175">
        <v>325793</v>
      </c>
    </row>
    <row r="5" spans="2:7" s="95" customFormat="1" ht="27" customHeight="1" x14ac:dyDescent="0.2">
      <c r="B5" s="116">
        <v>26908</v>
      </c>
      <c r="C5" s="116">
        <f t="shared" ca="1" si="0"/>
        <v>43005</v>
      </c>
      <c r="D5" s="124">
        <f t="shared" ca="1" si="1"/>
        <v>44</v>
      </c>
      <c r="E5" s="126" t="s">
        <v>495</v>
      </c>
      <c r="F5" s="126" t="s">
        <v>94</v>
      </c>
      <c r="G5" s="175">
        <v>1209041</v>
      </c>
    </row>
    <row r="6" spans="2:7" s="95" customFormat="1" ht="27" customHeight="1" x14ac:dyDescent="0.2">
      <c r="B6" s="116">
        <v>26908</v>
      </c>
      <c r="C6" s="116">
        <f t="shared" ca="1" si="0"/>
        <v>43005</v>
      </c>
      <c r="D6" s="124">
        <f t="shared" ca="1" si="1"/>
        <v>44</v>
      </c>
      <c r="E6" s="126" t="s">
        <v>495</v>
      </c>
      <c r="F6" s="126" t="s">
        <v>94</v>
      </c>
      <c r="G6" s="175">
        <v>2867490</v>
      </c>
    </row>
    <row r="7" spans="2:7" s="95" customFormat="1" ht="27" customHeight="1" x14ac:dyDescent="0.2">
      <c r="B7" s="116">
        <v>26908</v>
      </c>
      <c r="C7" s="116">
        <f t="shared" ca="1" si="0"/>
        <v>43005</v>
      </c>
      <c r="D7" s="124">
        <f t="shared" ca="1" si="1"/>
        <v>44</v>
      </c>
      <c r="E7" s="126" t="s">
        <v>495</v>
      </c>
      <c r="F7" s="126" t="s">
        <v>94</v>
      </c>
      <c r="G7" s="175">
        <v>3889935</v>
      </c>
    </row>
    <row r="8" spans="2:7" s="95" customFormat="1" ht="27" customHeight="1" x14ac:dyDescent="0.2">
      <c r="B8" s="116">
        <v>25978</v>
      </c>
      <c r="C8" s="116">
        <f t="shared" ca="1" si="0"/>
        <v>43005</v>
      </c>
      <c r="D8" s="124">
        <f t="shared" ca="1" si="1"/>
        <v>46</v>
      </c>
      <c r="E8" s="126" t="s">
        <v>495</v>
      </c>
      <c r="F8" s="126" t="s">
        <v>50</v>
      </c>
      <c r="G8" s="175">
        <v>13750251</v>
      </c>
    </row>
    <row r="9" spans="2:7" s="95" customFormat="1" ht="27" customHeight="1" x14ac:dyDescent="0.2">
      <c r="B9" s="116">
        <v>25978</v>
      </c>
      <c r="C9" s="116">
        <f t="shared" ca="1" si="0"/>
        <v>43005</v>
      </c>
      <c r="D9" s="124">
        <f t="shared" ca="1" si="1"/>
        <v>46</v>
      </c>
      <c r="E9" s="126" t="s">
        <v>495</v>
      </c>
      <c r="F9" s="126" t="s">
        <v>50</v>
      </c>
      <c r="G9" s="175">
        <v>807624</v>
      </c>
    </row>
    <row r="10" spans="2:7" s="95" customFormat="1" ht="27" customHeight="1" x14ac:dyDescent="0.2">
      <c r="B10" s="116">
        <v>25978</v>
      </c>
      <c r="C10" s="116">
        <f t="shared" ca="1" si="0"/>
        <v>43005</v>
      </c>
      <c r="D10" s="124">
        <f t="shared" ca="1" si="1"/>
        <v>46</v>
      </c>
      <c r="E10" s="126" t="s">
        <v>495</v>
      </c>
      <c r="F10" s="126" t="s">
        <v>50</v>
      </c>
      <c r="G10" s="175">
        <v>17967180</v>
      </c>
    </row>
    <row r="11" spans="2:7" s="95" customFormat="1" ht="27" customHeight="1" x14ac:dyDescent="0.2">
      <c r="B11" s="116">
        <v>26116</v>
      </c>
      <c r="C11" s="116">
        <f t="shared" ca="1" si="0"/>
        <v>43005</v>
      </c>
      <c r="D11" s="124">
        <f t="shared" ca="1" si="1"/>
        <v>46</v>
      </c>
      <c r="E11" s="126" t="s">
        <v>495</v>
      </c>
      <c r="F11" s="126" t="s">
        <v>93</v>
      </c>
      <c r="G11" s="175">
        <v>1209045</v>
      </c>
    </row>
    <row r="12" spans="2:7" s="95" customFormat="1" ht="27" customHeight="1" x14ac:dyDescent="0.2">
      <c r="B12" s="116">
        <v>25627</v>
      </c>
      <c r="C12" s="116">
        <f t="shared" ca="1" si="0"/>
        <v>43005</v>
      </c>
      <c r="D12" s="124">
        <f t="shared" ca="1" si="1"/>
        <v>47</v>
      </c>
      <c r="E12" s="126" t="s">
        <v>495</v>
      </c>
      <c r="F12" s="126" t="s">
        <v>50</v>
      </c>
      <c r="G12" s="175">
        <v>5458382</v>
      </c>
    </row>
    <row r="13" spans="2:7" s="95" customFormat="1" ht="27" customHeight="1" x14ac:dyDescent="0.2">
      <c r="B13" s="116">
        <v>25627</v>
      </c>
      <c r="C13" s="116">
        <f t="shared" ca="1" si="0"/>
        <v>43005</v>
      </c>
      <c r="D13" s="124">
        <f t="shared" ca="1" si="1"/>
        <v>47</v>
      </c>
      <c r="E13" s="126" t="s">
        <v>495</v>
      </c>
      <c r="F13" s="126" t="s">
        <v>50</v>
      </c>
      <c r="G13" s="175">
        <v>7154657</v>
      </c>
    </row>
    <row r="14" spans="2:7" s="95" customFormat="1" ht="27" customHeight="1" x14ac:dyDescent="0.2">
      <c r="B14" s="116">
        <v>25581</v>
      </c>
      <c r="C14" s="116">
        <f t="shared" ca="1" si="0"/>
        <v>43005</v>
      </c>
      <c r="D14" s="124">
        <f t="shared" ca="1" si="1"/>
        <v>47</v>
      </c>
      <c r="E14" s="126" t="s">
        <v>494</v>
      </c>
      <c r="F14" s="126" t="s">
        <v>50</v>
      </c>
      <c r="G14" s="175">
        <v>1389017</v>
      </c>
    </row>
    <row r="15" spans="2:7" s="95" customFormat="1" ht="27" customHeight="1" x14ac:dyDescent="0.2">
      <c r="B15" s="116">
        <v>25164</v>
      </c>
      <c r="C15" s="116">
        <f t="shared" ca="1" si="0"/>
        <v>43005</v>
      </c>
      <c r="D15" s="124">
        <f t="shared" ca="1" si="1"/>
        <v>48</v>
      </c>
      <c r="E15" s="126" t="s">
        <v>495</v>
      </c>
      <c r="F15" s="126" t="s">
        <v>50</v>
      </c>
      <c r="G15" s="175">
        <v>9798724</v>
      </c>
    </row>
    <row r="16" spans="2:7" s="95" customFormat="1" ht="27" customHeight="1" x14ac:dyDescent="0.2">
      <c r="B16" s="116">
        <v>25164</v>
      </c>
      <c r="C16" s="116">
        <f t="shared" ca="1" si="0"/>
        <v>43005</v>
      </c>
      <c r="D16" s="124">
        <f t="shared" ca="1" si="1"/>
        <v>48</v>
      </c>
      <c r="E16" s="126" t="s">
        <v>495</v>
      </c>
      <c r="F16" s="126" t="s">
        <v>50</v>
      </c>
      <c r="G16" s="175">
        <v>7982123</v>
      </c>
    </row>
    <row r="17" spans="2:7" s="95" customFormat="1" ht="27" customHeight="1" x14ac:dyDescent="0.2">
      <c r="B17" s="116">
        <v>25164</v>
      </c>
      <c r="C17" s="116">
        <f t="shared" ca="1" si="0"/>
        <v>43005</v>
      </c>
      <c r="D17" s="124">
        <f t="shared" ca="1" si="1"/>
        <v>48</v>
      </c>
      <c r="E17" s="126" t="s">
        <v>495</v>
      </c>
      <c r="F17" s="126" t="s">
        <v>50</v>
      </c>
      <c r="G17" s="175">
        <v>9121878</v>
      </c>
    </row>
    <row r="18" spans="2:7" s="95" customFormat="1" ht="27" customHeight="1" x14ac:dyDescent="0.2">
      <c r="B18" s="116">
        <v>24515</v>
      </c>
      <c r="C18" s="116">
        <f t="shared" ca="1" si="0"/>
        <v>43005</v>
      </c>
      <c r="D18" s="124">
        <f t="shared" ref="D18" ca="1" si="2">INT((C18-B18)/365)</f>
        <v>50</v>
      </c>
      <c r="E18" s="126" t="s">
        <v>494</v>
      </c>
      <c r="F18" s="126" t="s">
        <v>50</v>
      </c>
      <c r="G18" s="175">
        <v>19034944</v>
      </c>
    </row>
    <row r="19" spans="2:7" s="95" customFormat="1" ht="27" customHeight="1" x14ac:dyDescent="0.2">
      <c r="B19" s="116">
        <v>24561</v>
      </c>
      <c r="C19" s="116">
        <f t="shared" ca="1" si="0"/>
        <v>43005</v>
      </c>
      <c r="D19" s="124">
        <f t="shared" ref="D19:D52" ca="1" si="3">INT((C19-B19)/365)</f>
        <v>50</v>
      </c>
      <c r="E19" s="126" t="s">
        <v>495</v>
      </c>
      <c r="F19" s="126" t="s">
        <v>50</v>
      </c>
      <c r="G19" s="175">
        <v>6423830</v>
      </c>
    </row>
    <row r="20" spans="2:7" s="95" customFormat="1" ht="27" customHeight="1" x14ac:dyDescent="0.2">
      <c r="B20" s="116">
        <v>24561</v>
      </c>
      <c r="C20" s="116">
        <f t="shared" ca="1" si="0"/>
        <v>43005</v>
      </c>
      <c r="D20" s="124">
        <f t="shared" ca="1" si="3"/>
        <v>50</v>
      </c>
      <c r="E20" s="126" t="s">
        <v>495</v>
      </c>
      <c r="F20" s="126" t="s">
        <v>50</v>
      </c>
      <c r="G20" s="175">
        <v>4692868</v>
      </c>
    </row>
    <row r="21" spans="2:7" s="95" customFormat="1" ht="27" customHeight="1" x14ac:dyDescent="0.2">
      <c r="B21" s="116">
        <v>24275</v>
      </c>
      <c r="C21" s="116">
        <f t="shared" ca="1" si="0"/>
        <v>43005</v>
      </c>
      <c r="D21" s="124">
        <f t="shared" ca="1" si="3"/>
        <v>51</v>
      </c>
      <c r="E21" s="126" t="s">
        <v>495</v>
      </c>
      <c r="F21" s="126" t="s">
        <v>50</v>
      </c>
      <c r="G21" s="175">
        <v>3702930</v>
      </c>
    </row>
    <row r="22" spans="2:7" s="95" customFormat="1" ht="27" customHeight="1" x14ac:dyDescent="0.2">
      <c r="B22" s="116">
        <v>24275</v>
      </c>
      <c r="C22" s="116">
        <f t="shared" ca="1" si="0"/>
        <v>43005</v>
      </c>
      <c r="D22" s="124">
        <f t="shared" ca="1" si="3"/>
        <v>51</v>
      </c>
      <c r="E22" s="126" t="s">
        <v>495</v>
      </c>
      <c r="F22" s="126" t="s">
        <v>50</v>
      </c>
      <c r="G22" s="175">
        <v>2624533</v>
      </c>
    </row>
    <row r="23" spans="2:7" s="95" customFormat="1" ht="27" customHeight="1" x14ac:dyDescent="0.2">
      <c r="B23" s="116">
        <v>24275</v>
      </c>
      <c r="C23" s="116">
        <f t="shared" ca="1" si="0"/>
        <v>43005</v>
      </c>
      <c r="D23" s="124">
        <f t="shared" ca="1" si="3"/>
        <v>51</v>
      </c>
      <c r="E23" s="126" t="s">
        <v>495</v>
      </c>
      <c r="F23" s="126" t="s">
        <v>50</v>
      </c>
      <c r="G23" s="175">
        <v>367120</v>
      </c>
    </row>
    <row r="24" spans="2:7" s="95" customFormat="1" ht="27" customHeight="1" x14ac:dyDescent="0.2">
      <c r="B24" s="116">
        <v>23696</v>
      </c>
      <c r="C24" s="116">
        <f t="shared" ca="1" si="0"/>
        <v>43005</v>
      </c>
      <c r="D24" s="124">
        <f t="shared" ca="1" si="3"/>
        <v>52</v>
      </c>
      <c r="E24" s="126" t="s">
        <v>494</v>
      </c>
      <c r="F24" s="126" t="s">
        <v>50</v>
      </c>
      <c r="G24" s="175">
        <v>1011341</v>
      </c>
    </row>
    <row r="25" spans="2:7" s="95" customFormat="1" ht="27" customHeight="1" x14ac:dyDescent="0.2">
      <c r="B25" s="116">
        <v>23696</v>
      </c>
      <c r="C25" s="116">
        <f t="shared" ca="1" si="0"/>
        <v>43005</v>
      </c>
      <c r="D25" s="124">
        <f t="shared" ca="1" si="3"/>
        <v>52</v>
      </c>
      <c r="E25" s="126" t="s">
        <v>494</v>
      </c>
      <c r="F25" s="126" t="s">
        <v>50</v>
      </c>
      <c r="G25" s="175">
        <v>11254608</v>
      </c>
    </row>
    <row r="26" spans="2:7" s="95" customFormat="1" ht="27" customHeight="1" x14ac:dyDescent="0.2">
      <c r="B26" s="116">
        <v>23410</v>
      </c>
      <c r="C26" s="116">
        <f t="shared" ca="1" si="0"/>
        <v>43005</v>
      </c>
      <c r="D26" s="124">
        <f t="shared" ca="1" si="3"/>
        <v>53</v>
      </c>
      <c r="E26" s="126" t="s">
        <v>495</v>
      </c>
      <c r="F26" s="126" t="s">
        <v>50</v>
      </c>
      <c r="G26" s="175">
        <v>7936110</v>
      </c>
    </row>
    <row r="27" spans="2:7" s="95" customFormat="1" ht="27" customHeight="1" x14ac:dyDescent="0.2">
      <c r="B27" s="116">
        <v>23410</v>
      </c>
      <c r="C27" s="116">
        <f t="shared" ca="1" si="0"/>
        <v>43005</v>
      </c>
      <c r="D27" s="124">
        <f t="shared" ca="1" si="3"/>
        <v>53</v>
      </c>
      <c r="E27" s="126" t="s">
        <v>495</v>
      </c>
      <c r="F27" s="126" t="s">
        <v>50</v>
      </c>
      <c r="G27" s="175">
        <v>858339</v>
      </c>
    </row>
    <row r="28" spans="2:7" s="95" customFormat="1" ht="27" customHeight="1" x14ac:dyDescent="0.2">
      <c r="B28" s="116">
        <v>23410</v>
      </c>
      <c r="C28" s="116">
        <f t="shared" ca="1" si="0"/>
        <v>43005</v>
      </c>
      <c r="D28" s="124">
        <f t="shared" ca="1" si="3"/>
        <v>53</v>
      </c>
      <c r="E28" s="126" t="s">
        <v>495</v>
      </c>
      <c r="F28" s="126" t="s">
        <v>50</v>
      </c>
      <c r="G28" s="175">
        <v>5940700</v>
      </c>
    </row>
    <row r="29" spans="2:7" s="95" customFormat="1" ht="27" customHeight="1" x14ac:dyDescent="0.2">
      <c r="B29" s="116">
        <v>22623</v>
      </c>
      <c r="C29" s="116">
        <f t="shared" ca="1" si="0"/>
        <v>43005</v>
      </c>
      <c r="D29" s="124">
        <f t="shared" ca="1" si="3"/>
        <v>55</v>
      </c>
      <c r="E29" s="126" t="s">
        <v>494</v>
      </c>
      <c r="F29" s="126" t="s">
        <v>50</v>
      </c>
      <c r="G29" s="175">
        <v>714720</v>
      </c>
    </row>
    <row r="30" spans="2:7" s="95" customFormat="1" ht="27" customHeight="1" x14ac:dyDescent="0.2">
      <c r="B30" s="116">
        <v>22623</v>
      </c>
      <c r="C30" s="116">
        <f t="shared" ca="1" si="0"/>
        <v>43005</v>
      </c>
      <c r="D30" s="124">
        <f t="shared" ca="1" si="3"/>
        <v>55</v>
      </c>
      <c r="E30" s="126" t="s">
        <v>494</v>
      </c>
      <c r="F30" s="126" t="s">
        <v>50</v>
      </c>
      <c r="G30" s="175">
        <v>9291288</v>
      </c>
    </row>
    <row r="31" spans="2:7" s="95" customFormat="1" ht="27" customHeight="1" x14ac:dyDescent="0.2">
      <c r="B31" s="116">
        <v>21950</v>
      </c>
      <c r="C31" s="116">
        <f t="shared" ca="1" si="0"/>
        <v>43005</v>
      </c>
      <c r="D31" s="124">
        <f t="shared" ca="1" si="3"/>
        <v>57</v>
      </c>
      <c r="E31" s="126" t="s">
        <v>495</v>
      </c>
      <c r="F31" s="126" t="s">
        <v>50</v>
      </c>
      <c r="G31" s="175">
        <v>3323664</v>
      </c>
    </row>
    <row r="32" spans="2:7" s="95" customFormat="1" ht="27" customHeight="1" x14ac:dyDescent="0.2">
      <c r="B32" s="116">
        <v>21950</v>
      </c>
      <c r="C32" s="116">
        <f t="shared" ca="1" si="0"/>
        <v>43005</v>
      </c>
      <c r="D32" s="124">
        <f t="shared" ca="1" si="3"/>
        <v>57</v>
      </c>
      <c r="E32" s="126" t="s">
        <v>495</v>
      </c>
      <c r="F32" s="126" t="s">
        <v>50</v>
      </c>
      <c r="G32" s="175">
        <v>4383937</v>
      </c>
    </row>
    <row r="33" spans="2:7" s="95" customFormat="1" ht="27" customHeight="1" x14ac:dyDescent="0.2">
      <c r="B33" s="116">
        <v>21950</v>
      </c>
      <c r="C33" s="116">
        <f t="shared" ca="1" si="0"/>
        <v>43005</v>
      </c>
      <c r="D33" s="124">
        <f t="shared" ca="1" si="3"/>
        <v>57</v>
      </c>
      <c r="E33" s="126" t="s">
        <v>495</v>
      </c>
      <c r="F33" s="126" t="s">
        <v>50</v>
      </c>
      <c r="G33" s="175">
        <v>602910</v>
      </c>
    </row>
    <row r="34" spans="2:7" s="95" customFormat="1" ht="27" customHeight="1" x14ac:dyDescent="0.2">
      <c r="B34" s="116">
        <v>21746</v>
      </c>
      <c r="C34" s="116">
        <f t="shared" ca="1" si="0"/>
        <v>43005</v>
      </c>
      <c r="D34" s="124">
        <f t="shared" ca="1" si="3"/>
        <v>58</v>
      </c>
      <c r="E34" s="126" t="s">
        <v>494</v>
      </c>
      <c r="F34" s="126" t="s">
        <v>50</v>
      </c>
      <c r="G34" s="175">
        <v>864123</v>
      </c>
    </row>
    <row r="35" spans="2:7" s="95" customFormat="1" ht="27" customHeight="1" x14ac:dyDescent="0.2">
      <c r="B35" s="116">
        <v>21746</v>
      </c>
      <c r="C35" s="116">
        <f t="shared" ca="1" si="0"/>
        <v>43005</v>
      </c>
      <c r="D35" s="124">
        <f t="shared" ca="1" si="3"/>
        <v>58</v>
      </c>
      <c r="E35" s="126" t="s">
        <v>494</v>
      </c>
      <c r="F35" s="126" t="s">
        <v>50</v>
      </c>
      <c r="G35" s="175">
        <v>4779183</v>
      </c>
    </row>
    <row r="36" spans="2:7" s="95" customFormat="1" ht="27" customHeight="1" x14ac:dyDescent="0.2">
      <c r="B36" s="116">
        <v>21746</v>
      </c>
      <c r="C36" s="116">
        <f t="shared" ca="1" si="0"/>
        <v>43005</v>
      </c>
      <c r="D36" s="124">
        <f t="shared" ca="1" si="3"/>
        <v>58</v>
      </c>
      <c r="E36" s="126" t="s">
        <v>494</v>
      </c>
      <c r="F36" s="126" t="s">
        <v>50</v>
      </c>
      <c r="G36" s="175">
        <v>6684610</v>
      </c>
    </row>
    <row r="37" spans="2:7" s="95" customFormat="1" ht="27" customHeight="1" x14ac:dyDescent="0.2">
      <c r="B37" s="116">
        <v>21693</v>
      </c>
      <c r="C37" s="116">
        <f t="shared" ca="1" si="0"/>
        <v>43005</v>
      </c>
      <c r="D37" s="124">
        <f t="shared" ca="1" si="3"/>
        <v>58</v>
      </c>
      <c r="E37" s="126" t="s">
        <v>495</v>
      </c>
      <c r="F37" s="126" t="s">
        <v>50</v>
      </c>
      <c r="G37" s="175">
        <v>7965076</v>
      </c>
    </row>
    <row r="38" spans="2:7" s="95" customFormat="1" ht="27" customHeight="1" x14ac:dyDescent="0.2">
      <c r="B38" s="116">
        <v>21693</v>
      </c>
      <c r="C38" s="116">
        <f t="shared" ca="1" si="0"/>
        <v>43005</v>
      </c>
      <c r="D38" s="124">
        <f t="shared" ca="1" si="3"/>
        <v>58</v>
      </c>
      <c r="E38" s="126" t="s">
        <v>495</v>
      </c>
      <c r="F38" s="126" t="s">
        <v>50</v>
      </c>
      <c r="G38" s="175">
        <v>4835706</v>
      </c>
    </row>
    <row r="39" spans="2:7" s="95" customFormat="1" ht="27" customHeight="1" x14ac:dyDescent="0.2">
      <c r="B39" s="116">
        <v>21489</v>
      </c>
      <c r="C39" s="116">
        <f t="shared" ca="1" si="0"/>
        <v>43005</v>
      </c>
      <c r="D39" s="124">
        <f t="shared" ca="1" si="3"/>
        <v>58</v>
      </c>
      <c r="E39" s="126" t="s">
        <v>495</v>
      </c>
      <c r="F39" s="126" t="s">
        <v>50</v>
      </c>
      <c r="G39" s="175">
        <v>21609456</v>
      </c>
    </row>
    <row r="40" spans="2:7" s="95" customFormat="1" ht="27" customHeight="1" x14ac:dyDescent="0.2">
      <c r="B40" s="116">
        <v>21784</v>
      </c>
      <c r="C40" s="116">
        <f t="shared" ca="1" si="0"/>
        <v>43005</v>
      </c>
      <c r="D40" s="124">
        <f t="shared" ca="1" si="3"/>
        <v>58</v>
      </c>
      <c r="E40" s="126" t="s">
        <v>494</v>
      </c>
      <c r="F40" s="126" t="s">
        <v>50</v>
      </c>
      <c r="G40" s="175">
        <v>8894042</v>
      </c>
    </row>
    <row r="41" spans="2:7" s="95" customFormat="1" ht="27" customHeight="1" x14ac:dyDescent="0.2">
      <c r="B41" s="116">
        <v>21784</v>
      </c>
      <c r="C41" s="116">
        <f t="shared" ca="1" si="0"/>
        <v>43005</v>
      </c>
      <c r="D41" s="124">
        <f t="shared" ca="1" si="3"/>
        <v>58</v>
      </c>
      <c r="E41" s="126" t="s">
        <v>494</v>
      </c>
      <c r="F41" s="126" t="s">
        <v>50</v>
      </c>
      <c r="G41" s="175">
        <v>1681645</v>
      </c>
    </row>
    <row r="42" spans="2:7" s="95" customFormat="1" ht="27" customHeight="1" x14ac:dyDescent="0.2">
      <c r="B42" s="116">
        <v>21784</v>
      </c>
      <c r="C42" s="116">
        <f t="shared" ca="1" si="0"/>
        <v>43005</v>
      </c>
      <c r="D42" s="124">
        <f t="shared" ca="1" si="3"/>
        <v>58</v>
      </c>
      <c r="E42" s="126" t="s">
        <v>494</v>
      </c>
      <c r="F42" s="126" t="s">
        <v>50</v>
      </c>
      <c r="G42" s="175">
        <v>5879480</v>
      </c>
    </row>
    <row r="43" spans="2:7" s="95" customFormat="1" ht="27" customHeight="1" x14ac:dyDescent="0.2">
      <c r="B43" s="116">
        <v>21187</v>
      </c>
      <c r="C43" s="116">
        <f t="shared" ca="1" si="0"/>
        <v>43005</v>
      </c>
      <c r="D43" s="124">
        <f t="shared" ca="1" si="3"/>
        <v>59</v>
      </c>
      <c r="E43" s="126" t="s">
        <v>494</v>
      </c>
      <c r="F43" s="126" t="s">
        <v>50</v>
      </c>
      <c r="G43" s="175">
        <v>3511208</v>
      </c>
    </row>
    <row r="44" spans="2:7" s="95" customFormat="1" ht="27" customHeight="1" x14ac:dyDescent="0.2">
      <c r="B44" s="116">
        <v>21187</v>
      </c>
      <c r="C44" s="116">
        <f t="shared" ca="1" si="0"/>
        <v>43005</v>
      </c>
      <c r="D44" s="124">
        <f t="shared" ca="1" si="3"/>
        <v>59</v>
      </c>
      <c r="E44" s="126" t="s">
        <v>494</v>
      </c>
      <c r="F44" s="126" t="s">
        <v>50</v>
      </c>
      <c r="G44" s="175">
        <v>12086172</v>
      </c>
    </row>
    <row r="45" spans="2:7" s="95" customFormat="1" ht="27" customHeight="1" x14ac:dyDescent="0.2">
      <c r="B45" s="116">
        <v>21187</v>
      </c>
      <c r="C45" s="116">
        <f t="shared" ca="1" si="0"/>
        <v>43005</v>
      </c>
      <c r="D45" s="124">
        <f t="shared" ca="1" si="3"/>
        <v>59</v>
      </c>
      <c r="E45" s="126" t="s">
        <v>494</v>
      </c>
      <c r="F45" s="126" t="s">
        <v>50</v>
      </c>
      <c r="G45" s="175">
        <v>18063587</v>
      </c>
    </row>
    <row r="46" spans="2:7" s="95" customFormat="1" ht="27" customHeight="1" x14ac:dyDescent="0.2">
      <c r="B46" s="116">
        <v>21419</v>
      </c>
      <c r="C46" s="116">
        <f t="shared" ca="1" si="0"/>
        <v>43005</v>
      </c>
      <c r="D46" s="124">
        <f t="shared" ca="1" si="3"/>
        <v>59</v>
      </c>
      <c r="E46" s="126" t="s">
        <v>495</v>
      </c>
      <c r="F46" s="126" t="s">
        <v>50</v>
      </c>
      <c r="G46" s="175">
        <v>8116816</v>
      </c>
    </row>
    <row r="47" spans="2:7" s="95" customFormat="1" ht="27" customHeight="1" x14ac:dyDescent="0.2">
      <c r="B47" s="116">
        <v>20461</v>
      </c>
      <c r="C47" s="116">
        <f t="shared" ca="1" si="0"/>
        <v>43005</v>
      </c>
      <c r="D47" s="124">
        <f t="shared" ca="1" si="3"/>
        <v>61</v>
      </c>
      <c r="E47" s="126" t="s">
        <v>494</v>
      </c>
      <c r="F47" s="126" t="s">
        <v>50</v>
      </c>
      <c r="G47" s="175">
        <v>3889168</v>
      </c>
    </row>
    <row r="48" spans="2:7" s="95" customFormat="1" ht="27" customHeight="1" x14ac:dyDescent="0.2">
      <c r="B48" s="116">
        <v>20486</v>
      </c>
      <c r="C48" s="116">
        <f t="shared" ca="1" si="0"/>
        <v>43005</v>
      </c>
      <c r="D48" s="124">
        <f t="shared" ca="1" si="3"/>
        <v>61</v>
      </c>
      <c r="E48" s="126" t="s">
        <v>494</v>
      </c>
      <c r="F48" s="126" t="s">
        <v>50</v>
      </c>
      <c r="G48" s="175">
        <v>24813404</v>
      </c>
    </row>
    <row r="49" spans="2:7" s="95" customFormat="1" ht="27" customHeight="1" x14ac:dyDescent="0.2">
      <c r="B49" s="116">
        <v>20486</v>
      </c>
      <c r="C49" s="116">
        <f t="shared" ca="1" si="0"/>
        <v>43005</v>
      </c>
      <c r="D49" s="124">
        <f t="shared" ca="1" si="3"/>
        <v>61</v>
      </c>
      <c r="E49" s="126" t="s">
        <v>494</v>
      </c>
      <c r="F49" s="126" t="s">
        <v>50</v>
      </c>
      <c r="G49" s="175">
        <v>25279669</v>
      </c>
    </row>
    <row r="50" spans="2:7" s="95" customFormat="1" ht="27" customHeight="1" x14ac:dyDescent="0.2">
      <c r="B50" s="116">
        <v>20486</v>
      </c>
      <c r="C50" s="116">
        <f t="shared" ca="1" si="0"/>
        <v>43005</v>
      </c>
      <c r="D50" s="124">
        <f t="shared" ca="1" si="3"/>
        <v>61</v>
      </c>
      <c r="E50" s="126" t="s">
        <v>494</v>
      </c>
      <c r="F50" s="126" t="s">
        <v>50</v>
      </c>
      <c r="G50" s="175">
        <v>32408512</v>
      </c>
    </row>
    <row r="51" spans="2:7" s="95" customFormat="1" ht="27" customHeight="1" x14ac:dyDescent="0.2">
      <c r="B51" s="116">
        <v>19740</v>
      </c>
      <c r="C51" s="116">
        <f t="shared" ca="1" si="0"/>
        <v>43005</v>
      </c>
      <c r="D51" s="124">
        <f t="shared" ca="1" si="3"/>
        <v>63</v>
      </c>
      <c r="E51" s="126" t="s">
        <v>495</v>
      </c>
      <c r="F51" s="126" t="s">
        <v>50</v>
      </c>
      <c r="G51" s="175">
        <v>5708702</v>
      </c>
    </row>
    <row r="52" spans="2:7" s="95" customFormat="1" ht="27" customHeight="1" x14ac:dyDescent="0.2">
      <c r="B52" s="116">
        <v>19740</v>
      </c>
      <c r="C52" s="116">
        <f t="shared" ca="1" si="0"/>
        <v>43005</v>
      </c>
      <c r="D52" s="124">
        <f t="shared" ca="1" si="3"/>
        <v>63</v>
      </c>
      <c r="E52" s="126" t="s">
        <v>495</v>
      </c>
      <c r="F52" s="126" t="s">
        <v>50</v>
      </c>
      <c r="G52" s="175">
        <v>4177227</v>
      </c>
    </row>
    <row r="53" spans="2:7" s="95" customFormat="1" ht="27" customHeight="1" x14ac:dyDescent="0.2">
      <c r="B53" s="116">
        <v>19539</v>
      </c>
      <c r="C53" s="116">
        <f ca="1">TODAY()</f>
        <v>43005</v>
      </c>
      <c r="D53" s="124">
        <f t="shared" ref="D53:D57" ca="1" si="4">INT((C53-B53)/365)</f>
        <v>64</v>
      </c>
      <c r="E53" s="126" t="s">
        <v>494</v>
      </c>
      <c r="F53" s="126" t="s">
        <v>50</v>
      </c>
      <c r="G53" s="175">
        <v>4473868</v>
      </c>
    </row>
    <row r="54" spans="2:7" s="95" customFormat="1" ht="27" customHeight="1" x14ac:dyDescent="0.2">
      <c r="B54" s="116">
        <v>19539</v>
      </c>
      <c r="C54" s="116">
        <f t="shared" ca="1" si="0"/>
        <v>43005</v>
      </c>
      <c r="D54" s="124">
        <f t="shared" ca="1" si="4"/>
        <v>64</v>
      </c>
      <c r="E54" s="126" t="s">
        <v>494</v>
      </c>
      <c r="F54" s="126" t="s">
        <v>50</v>
      </c>
      <c r="G54" s="175">
        <v>8183187</v>
      </c>
    </row>
    <row r="55" spans="2:7" s="95" customFormat="1" ht="27" customHeight="1" x14ac:dyDescent="0.2">
      <c r="B55" s="107">
        <v>17736</v>
      </c>
      <c r="C55" s="116">
        <f t="shared" ca="1" si="0"/>
        <v>43005</v>
      </c>
      <c r="D55" s="124">
        <f t="shared" ca="1" si="4"/>
        <v>69</v>
      </c>
      <c r="E55" s="126" t="s">
        <v>495</v>
      </c>
      <c r="F55" s="126" t="s">
        <v>50</v>
      </c>
      <c r="G55" s="175">
        <v>8084709</v>
      </c>
    </row>
    <row r="56" spans="2:7" s="95" customFormat="1" ht="27" customHeight="1" x14ac:dyDescent="0.2">
      <c r="B56" s="116">
        <v>15427</v>
      </c>
      <c r="C56" s="116">
        <f t="shared" ca="1" si="0"/>
        <v>43005</v>
      </c>
      <c r="D56" s="124">
        <f t="shared" ca="1" si="4"/>
        <v>75</v>
      </c>
      <c r="E56" s="126" t="s">
        <v>494</v>
      </c>
      <c r="F56" s="126" t="s">
        <v>50</v>
      </c>
      <c r="G56" s="175">
        <v>28855310</v>
      </c>
    </row>
    <row r="57" spans="2:7" s="95" customFormat="1" ht="27" customHeight="1" x14ac:dyDescent="0.2">
      <c r="B57" s="116">
        <v>15427</v>
      </c>
      <c r="C57" s="116">
        <f t="shared" ca="1" si="0"/>
        <v>43005</v>
      </c>
      <c r="D57" s="124">
        <f t="shared" ca="1" si="4"/>
        <v>75</v>
      </c>
      <c r="E57" s="126" t="s">
        <v>494</v>
      </c>
      <c r="F57" s="126" t="s">
        <v>50</v>
      </c>
      <c r="G57" s="175">
        <v>8621092</v>
      </c>
    </row>
    <row r="58" spans="2:7" ht="27" customHeight="1" x14ac:dyDescent="0.2">
      <c r="G58" s="17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8"/>
  <sheetViews>
    <sheetView workbookViewId="0">
      <selection activeCell="F3" sqref="F3"/>
    </sheetView>
  </sheetViews>
  <sheetFormatPr baseColWidth="10" defaultColWidth="37" defaultRowHeight="11.25" x14ac:dyDescent="0.2"/>
  <cols>
    <col min="1" max="1" width="8.7109375" style="94" customWidth="1"/>
    <col min="2" max="2" width="11.140625" style="113" bestFit="1" customWidth="1"/>
    <col min="3" max="4" width="13" style="113" customWidth="1"/>
    <col min="5" max="5" width="31.5703125" style="113" bestFit="1" customWidth="1"/>
    <col min="6" max="6" width="13.85546875" style="121" customWidth="1"/>
    <col min="7" max="8" width="13.5703125" style="121" customWidth="1"/>
    <col min="9" max="16384" width="37" style="94"/>
  </cols>
  <sheetData>
    <row r="1" spans="2:8" s="96" customFormat="1" ht="24" customHeight="1" x14ac:dyDescent="0.2">
      <c r="B1" s="110">
        <v>1</v>
      </c>
      <c r="C1" s="110">
        <v>2</v>
      </c>
      <c r="D1" s="110"/>
      <c r="E1" s="110">
        <v>3</v>
      </c>
      <c r="F1" s="110"/>
      <c r="G1" s="110"/>
      <c r="H1" s="110"/>
    </row>
    <row r="2" spans="2:8" ht="24" customHeight="1" x14ac:dyDescent="0.2">
      <c r="B2" s="111"/>
      <c r="C2" s="111"/>
      <c r="D2" s="111"/>
      <c r="E2" s="114"/>
      <c r="F2" s="115"/>
      <c r="G2" s="115"/>
      <c r="H2" s="115"/>
    </row>
    <row r="3" spans="2:8" s="97" customFormat="1" ht="24" customHeight="1" x14ac:dyDescent="0.2">
      <c r="B3" s="132" t="s">
        <v>0</v>
      </c>
      <c r="C3" s="132" t="s">
        <v>493</v>
      </c>
      <c r="D3" s="132" t="s">
        <v>458</v>
      </c>
      <c r="E3" s="132" t="s">
        <v>492</v>
      </c>
      <c r="F3" s="132" t="s">
        <v>49</v>
      </c>
      <c r="G3" s="132" t="s">
        <v>496</v>
      </c>
    </row>
    <row r="4" spans="2:8" s="98" customFormat="1" ht="24" customHeight="1" x14ac:dyDescent="0.2">
      <c r="B4" s="108">
        <v>32980</v>
      </c>
      <c r="C4" s="107">
        <f t="shared" ref="C4:C67" ca="1" si="0">TODAY()</f>
        <v>43005</v>
      </c>
      <c r="D4" s="182">
        <f t="shared" ref="D4:D35" ca="1" si="1">INT((C4-B4)/365)</f>
        <v>27</v>
      </c>
      <c r="E4" s="183" t="s">
        <v>495</v>
      </c>
      <c r="F4" s="143" t="s">
        <v>97</v>
      </c>
      <c r="G4" s="178">
        <v>11254361</v>
      </c>
    </row>
    <row r="5" spans="2:8" s="98" customFormat="1" ht="24" customHeight="1" x14ac:dyDescent="0.2">
      <c r="B5" s="108">
        <v>32433</v>
      </c>
      <c r="C5" s="107">
        <f t="shared" ca="1" si="0"/>
        <v>43005</v>
      </c>
      <c r="D5" s="182">
        <f t="shared" ca="1" si="1"/>
        <v>28</v>
      </c>
      <c r="E5" s="183" t="s">
        <v>495</v>
      </c>
      <c r="F5" s="143" t="s">
        <v>50</v>
      </c>
      <c r="G5" s="178">
        <v>27435495</v>
      </c>
    </row>
    <row r="6" spans="2:8" s="98" customFormat="1" ht="24" customHeight="1" x14ac:dyDescent="0.2">
      <c r="B6" s="108">
        <v>32422</v>
      </c>
      <c r="C6" s="107">
        <f t="shared" ca="1" si="0"/>
        <v>43005</v>
      </c>
      <c r="D6" s="182">
        <f t="shared" ca="1" si="1"/>
        <v>28</v>
      </c>
      <c r="E6" s="183" t="s">
        <v>495</v>
      </c>
      <c r="F6" s="143" t="s">
        <v>50</v>
      </c>
      <c r="G6" s="178">
        <v>22277007</v>
      </c>
    </row>
    <row r="7" spans="2:8" s="95" customFormat="1" ht="24" customHeight="1" x14ac:dyDescent="0.2">
      <c r="B7" s="107">
        <v>32123</v>
      </c>
      <c r="C7" s="107">
        <f t="shared" ca="1" si="0"/>
        <v>43005</v>
      </c>
      <c r="D7" s="182">
        <f t="shared" ca="1" si="1"/>
        <v>29</v>
      </c>
      <c r="E7" s="143" t="s">
        <v>495</v>
      </c>
      <c r="F7" s="143" t="s">
        <v>93</v>
      </c>
      <c r="G7" s="178">
        <v>6355030</v>
      </c>
    </row>
    <row r="8" spans="2:8" s="98" customFormat="1" ht="24" customHeight="1" x14ac:dyDescent="0.2">
      <c r="B8" s="108">
        <v>32290</v>
      </c>
      <c r="C8" s="107">
        <f t="shared" ca="1" si="0"/>
        <v>43005</v>
      </c>
      <c r="D8" s="182">
        <f t="shared" ca="1" si="1"/>
        <v>29</v>
      </c>
      <c r="E8" s="183" t="s">
        <v>495</v>
      </c>
      <c r="F8" s="143" t="s">
        <v>50</v>
      </c>
      <c r="G8" s="178">
        <v>11705680</v>
      </c>
    </row>
    <row r="9" spans="2:8" s="98" customFormat="1" ht="24" customHeight="1" x14ac:dyDescent="0.2">
      <c r="B9" s="108">
        <v>32104</v>
      </c>
      <c r="C9" s="107">
        <f t="shared" ca="1" si="0"/>
        <v>43005</v>
      </c>
      <c r="D9" s="182">
        <f t="shared" ca="1" si="1"/>
        <v>29</v>
      </c>
      <c r="E9" s="183" t="s">
        <v>495</v>
      </c>
      <c r="F9" s="183" t="s">
        <v>98</v>
      </c>
      <c r="G9" s="178">
        <v>16745603</v>
      </c>
    </row>
    <row r="10" spans="2:8" s="98" customFormat="1" ht="24" customHeight="1" x14ac:dyDescent="0.2">
      <c r="B10" s="108">
        <v>32090</v>
      </c>
      <c r="C10" s="107">
        <f t="shared" ca="1" si="0"/>
        <v>43005</v>
      </c>
      <c r="D10" s="182">
        <f t="shared" ca="1" si="1"/>
        <v>29</v>
      </c>
      <c r="E10" s="183" t="s">
        <v>495</v>
      </c>
      <c r="F10" s="143" t="s">
        <v>50</v>
      </c>
      <c r="G10" s="178">
        <v>48600000</v>
      </c>
    </row>
    <row r="11" spans="2:8" s="98" customFormat="1" ht="24" customHeight="1" x14ac:dyDescent="0.2">
      <c r="B11" s="108">
        <v>31969</v>
      </c>
      <c r="C11" s="107">
        <f t="shared" ca="1" si="0"/>
        <v>43005</v>
      </c>
      <c r="D11" s="182">
        <f t="shared" ca="1" si="1"/>
        <v>30</v>
      </c>
      <c r="E11" s="183" t="s">
        <v>494</v>
      </c>
      <c r="F11" s="143" t="s">
        <v>50</v>
      </c>
      <c r="G11" s="178">
        <v>14013153</v>
      </c>
    </row>
    <row r="12" spans="2:8" s="98" customFormat="1" ht="24" customHeight="1" x14ac:dyDescent="0.2">
      <c r="B12" s="108">
        <v>32001</v>
      </c>
      <c r="C12" s="107">
        <f t="shared" ca="1" si="0"/>
        <v>43005</v>
      </c>
      <c r="D12" s="182">
        <f t="shared" ca="1" si="1"/>
        <v>30</v>
      </c>
      <c r="E12" s="183" t="s">
        <v>495</v>
      </c>
      <c r="F12" s="143" t="s">
        <v>50</v>
      </c>
      <c r="G12" s="178">
        <v>16865404</v>
      </c>
    </row>
    <row r="13" spans="2:8" s="95" customFormat="1" ht="24" customHeight="1" x14ac:dyDescent="0.2">
      <c r="B13" s="116">
        <v>31582</v>
      </c>
      <c r="C13" s="107">
        <f t="shared" ca="1" si="0"/>
        <v>43005</v>
      </c>
      <c r="D13" s="182">
        <f t="shared" ca="1" si="1"/>
        <v>31</v>
      </c>
      <c r="E13" s="126" t="s">
        <v>495</v>
      </c>
      <c r="F13" s="143" t="s">
        <v>50</v>
      </c>
      <c r="G13" s="178">
        <v>11447942</v>
      </c>
    </row>
    <row r="14" spans="2:8" s="98" customFormat="1" ht="24" customHeight="1" x14ac:dyDescent="0.2">
      <c r="B14" s="107">
        <v>31401</v>
      </c>
      <c r="C14" s="107">
        <f t="shared" ca="1" si="0"/>
        <v>43005</v>
      </c>
      <c r="D14" s="182">
        <f t="shared" ca="1" si="1"/>
        <v>31</v>
      </c>
      <c r="E14" s="143" t="s">
        <v>495</v>
      </c>
      <c r="F14" s="143" t="s">
        <v>50</v>
      </c>
      <c r="G14" s="178">
        <v>12637751</v>
      </c>
    </row>
    <row r="15" spans="2:8" s="95" customFormat="1" ht="24" customHeight="1" x14ac:dyDescent="0.2">
      <c r="B15" s="107">
        <v>31220</v>
      </c>
      <c r="C15" s="107">
        <f t="shared" ca="1" si="0"/>
        <v>43005</v>
      </c>
      <c r="D15" s="182">
        <f t="shared" ca="1" si="1"/>
        <v>32</v>
      </c>
      <c r="E15" s="143" t="s">
        <v>495</v>
      </c>
      <c r="F15" s="143" t="s">
        <v>50</v>
      </c>
      <c r="G15" s="178">
        <v>6053817</v>
      </c>
    </row>
    <row r="16" spans="2:8" s="98" customFormat="1" ht="24" customHeight="1" x14ac:dyDescent="0.2">
      <c r="B16" s="107">
        <v>31028</v>
      </c>
      <c r="C16" s="107">
        <f t="shared" ca="1" si="0"/>
        <v>43005</v>
      </c>
      <c r="D16" s="182">
        <f t="shared" ca="1" si="1"/>
        <v>32</v>
      </c>
      <c r="E16" s="143" t="s">
        <v>495</v>
      </c>
      <c r="F16" s="143" t="s">
        <v>50</v>
      </c>
      <c r="G16" s="178">
        <v>9363580</v>
      </c>
    </row>
    <row r="17" spans="2:7" s="98" customFormat="1" ht="24" customHeight="1" x14ac:dyDescent="0.2">
      <c r="B17" s="108">
        <v>30986</v>
      </c>
      <c r="C17" s="107">
        <f t="shared" ca="1" si="0"/>
        <v>43005</v>
      </c>
      <c r="D17" s="182">
        <f t="shared" ca="1" si="1"/>
        <v>32</v>
      </c>
      <c r="E17" s="183" t="s">
        <v>495</v>
      </c>
      <c r="F17" s="143" t="s">
        <v>50</v>
      </c>
      <c r="G17" s="178">
        <v>9986283</v>
      </c>
    </row>
    <row r="18" spans="2:7" s="98" customFormat="1" ht="24" customHeight="1" x14ac:dyDescent="0.2">
      <c r="B18" s="108">
        <v>31224</v>
      </c>
      <c r="C18" s="107">
        <f t="shared" ca="1" si="0"/>
        <v>43005</v>
      </c>
      <c r="D18" s="182">
        <f t="shared" ca="1" si="1"/>
        <v>32</v>
      </c>
      <c r="E18" s="183" t="s">
        <v>494</v>
      </c>
      <c r="F18" s="143" t="s">
        <v>50</v>
      </c>
      <c r="G18" s="178">
        <v>12357173</v>
      </c>
    </row>
    <row r="19" spans="2:7" s="98" customFormat="1" ht="24" customHeight="1" x14ac:dyDescent="0.2">
      <c r="B19" s="107">
        <v>30740</v>
      </c>
      <c r="C19" s="107">
        <f t="shared" ca="1" si="0"/>
        <v>43005</v>
      </c>
      <c r="D19" s="182">
        <f t="shared" ca="1" si="1"/>
        <v>33</v>
      </c>
      <c r="E19" s="143" t="s">
        <v>495</v>
      </c>
      <c r="F19" s="143" t="s">
        <v>50</v>
      </c>
      <c r="G19" s="178">
        <v>16375797</v>
      </c>
    </row>
    <row r="20" spans="2:7" s="98" customFormat="1" ht="24" customHeight="1" x14ac:dyDescent="0.2">
      <c r="B20" s="108">
        <v>30788</v>
      </c>
      <c r="C20" s="107">
        <f t="shared" ca="1" si="0"/>
        <v>43005</v>
      </c>
      <c r="D20" s="182">
        <f t="shared" ca="1" si="1"/>
        <v>33</v>
      </c>
      <c r="E20" s="183" t="s">
        <v>494</v>
      </c>
      <c r="F20" s="143" t="s">
        <v>50</v>
      </c>
      <c r="G20" s="178">
        <v>15268398</v>
      </c>
    </row>
    <row r="21" spans="2:7" s="98" customFormat="1" ht="24" customHeight="1" x14ac:dyDescent="0.2">
      <c r="B21" s="108">
        <v>30915</v>
      </c>
      <c r="C21" s="107">
        <f t="shared" ca="1" si="0"/>
        <v>43005</v>
      </c>
      <c r="D21" s="182">
        <f t="shared" ca="1" si="1"/>
        <v>33</v>
      </c>
      <c r="E21" s="183" t="s">
        <v>494</v>
      </c>
      <c r="F21" s="143" t="s">
        <v>50</v>
      </c>
      <c r="G21" s="178">
        <v>36461808</v>
      </c>
    </row>
    <row r="22" spans="2:7" s="98" customFormat="1" ht="24" customHeight="1" x14ac:dyDescent="0.2">
      <c r="B22" s="108">
        <v>30650</v>
      </c>
      <c r="C22" s="107">
        <f t="shared" ca="1" si="0"/>
        <v>43005</v>
      </c>
      <c r="D22" s="182">
        <f t="shared" ca="1" si="1"/>
        <v>33</v>
      </c>
      <c r="E22" s="183" t="s">
        <v>494</v>
      </c>
      <c r="F22" s="143" t="s">
        <v>50</v>
      </c>
      <c r="G22" s="178">
        <v>18056646</v>
      </c>
    </row>
    <row r="23" spans="2:7" s="98" customFormat="1" ht="24" customHeight="1" x14ac:dyDescent="0.2">
      <c r="B23" s="107">
        <v>30419</v>
      </c>
      <c r="C23" s="107">
        <f t="shared" ca="1" si="0"/>
        <v>43005</v>
      </c>
      <c r="D23" s="182">
        <f t="shared" ca="1" si="1"/>
        <v>34</v>
      </c>
      <c r="E23" s="143" t="s">
        <v>495</v>
      </c>
      <c r="F23" s="143" t="s">
        <v>50</v>
      </c>
      <c r="G23" s="178">
        <v>8889360</v>
      </c>
    </row>
    <row r="24" spans="2:7" s="98" customFormat="1" ht="24" customHeight="1" x14ac:dyDescent="0.2">
      <c r="B24" s="108">
        <v>30506</v>
      </c>
      <c r="C24" s="107">
        <f t="shared" ca="1" si="0"/>
        <v>43005</v>
      </c>
      <c r="D24" s="182">
        <f t="shared" ca="1" si="1"/>
        <v>34</v>
      </c>
      <c r="E24" s="183" t="s">
        <v>494</v>
      </c>
      <c r="F24" s="143" t="s">
        <v>50</v>
      </c>
      <c r="G24" s="178">
        <v>48000000</v>
      </c>
    </row>
    <row r="25" spans="2:7" s="95" customFormat="1" ht="24" customHeight="1" x14ac:dyDescent="0.2">
      <c r="B25" s="107">
        <v>29990</v>
      </c>
      <c r="C25" s="107">
        <f t="shared" ca="1" si="0"/>
        <v>43005</v>
      </c>
      <c r="D25" s="182">
        <f t="shared" ca="1" si="1"/>
        <v>35</v>
      </c>
      <c r="E25" s="143" t="s">
        <v>495</v>
      </c>
      <c r="F25" s="143" t="s">
        <v>50</v>
      </c>
      <c r="G25" s="178">
        <v>14908450</v>
      </c>
    </row>
    <row r="26" spans="2:7" s="95" customFormat="1" ht="24" customHeight="1" x14ac:dyDescent="0.2">
      <c r="B26" s="107">
        <v>30080</v>
      </c>
      <c r="C26" s="107">
        <f t="shared" ca="1" si="0"/>
        <v>43005</v>
      </c>
      <c r="D26" s="182">
        <f t="shared" ca="1" si="1"/>
        <v>35</v>
      </c>
      <c r="E26" s="143" t="s">
        <v>495</v>
      </c>
      <c r="F26" s="143" t="s">
        <v>50</v>
      </c>
      <c r="G26" s="178">
        <v>19124438</v>
      </c>
    </row>
    <row r="27" spans="2:7" s="95" customFormat="1" ht="24" customHeight="1" x14ac:dyDescent="0.2">
      <c r="B27" s="107">
        <v>29625</v>
      </c>
      <c r="C27" s="107">
        <f t="shared" ca="1" si="0"/>
        <v>43005</v>
      </c>
      <c r="D27" s="182">
        <f t="shared" ca="1" si="1"/>
        <v>36</v>
      </c>
      <c r="E27" s="143" t="s">
        <v>495</v>
      </c>
      <c r="F27" s="143" t="s">
        <v>50</v>
      </c>
      <c r="G27" s="178">
        <v>3056802</v>
      </c>
    </row>
    <row r="28" spans="2:7" s="98" customFormat="1" ht="24" customHeight="1" x14ac:dyDescent="0.2">
      <c r="B28" s="108">
        <v>29686</v>
      </c>
      <c r="C28" s="107">
        <f t="shared" ca="1" si="0"/>
        <v>43005</v>
      </c>
      <c r="D28" s="182">
        <f t="shared" ca="1" si="1"/>
        <v>36</v>
      </c>
      <c r="E28" s="143" t="s">
        <v>494</v>
      </c>
      <c r="F28" s="143" t="s">
        <v>50</v>
      </c>
      <c r="G28" s="178">
        <v>13389741</v>
      </c>
    </row>
    <row r="29" spans="2:7" s="98" customFormat="1" ht="24" customHeight="1" x14ac:dyDescent="0.2">
      <c r="B29" s="108">
        <v>29581</v>
      </c>
      <c r="C29" s="107">
        <f t="shared" ca="1" si="0"/>
        <v>43005</v>
      </c>
      <c r="D29" s="182">
        <f t="shared" ca="1" si="1"/>
        <v>36</v>
      </c>
      <c r="E29" s="183" t="s">
        <v>494</v>
      </c>
      <c r="F29" s="183" t="s">
        <v>93</v>
      </c>
      <c r="G29" s="178">
        <v>8064959</v>
      </c>
    </row>
    <row r="30" spans="2:7" s="98" customFormat="1" ht="24" customHeight="1" x14ac:dyDescent="0.2">
      <c r="B30" s="108">
        <v>29568</v>
      </c>
      <c r="C30" s="107">
        <f t="shared" ca="1" si="0"/>
        <v>43005</v>
      </c>
      <c r="D30" s="182">
        <f t="shared" ca="1" si="1"/>
        <v>36</v>
      </c>
      <c r="E30" s="183" t="s">
        <v>494</v>
      </c>
      <c r="F30" s="143" t="s">
        <v>50</v>
      </c>
      <c r="G30" s="178">
        <v>55000000</v>
      </c>
    </row>
    <row r="31" spans="2:7" s="95" customFormat="1" ht="24" customHeight="1" x14ac:dyDescent="0.2">
      <c r="B31" s="107">
        <v>29217</v>
      </c>
      <c r="C31" s="107">
        <f t="shared" ca="1" si="0"/>
        <v>43005</v>
      </c>
      <c r="D31" s="182">
        <f t="shared" ca="1" si="1"/>
        <v>37</v>
      </c>
      <c r="E31" s="143" t="s">
        <v>494</v>
      </c>
      <c r="F31" s="143" t="s">
        <v>50</v>
      </c>
      <c r="G31" s="178">
        <v>12462175</v>
      </c>
    </row>
    <row r="32" spans="2:7" s="98" customFormat="1" ht="24" customHeight="1" x14ac:dyDescent="0.2">
      <c r="B32" s="108">
        <v>29203</v>
      </c>
      <c r="C32" s="107">
        <f t="shared" ca="1" si="0"/>
        <v>43005</v>
      </c>
      <c r="D32" s="182">
        <f t="shared" ca="1" si="1"/>
        <v>37</v>
      </c>
      <c r="E32" s="183" t="s">
        <v>494</v>
      </c>
      <c r="F32" s="143" t="s">
        <v>50</v>
      </c>
      <c r="G32" s="178">
        <v>26587635</v>
      </c>
    </row>
    <row r="33" spans="2:7" s="98" customFormat="1" ht="24" customHeight="1" x14ac:dyDescent="0.2">
      <c r="B33" s="108">
        <v>29299</v>
      </c>
      <c r="C33" s="107">
        <f t="shared" ca="1" si="0"/>
        <v>43005</v>
      </c>
      <c r="D33" s="182">
        <f t="shared" ca="1" si="1"/>
        <v>37</v>
      </c>
      <c r="E33" s="183" t="s">
        <v>494</v>
      </c>
      <c r="F33" s="143" t="s">
        <v>50</v>
      </c>
      <c r="G33" s="178">
        <v>35000000</v>
      </c>
    </row>
    <row r="34" spans="2:7" s="98" customFormat="1" ht="24" customHeight="1" x14ac:dyDescent="0.2">
      <c r="B34" s="108">
        <v>28990</v>
      </c>
      <c r="C34" s="107">
        <f t="shared" ca="1" si="0"/>
        <v>43005</v>
      </c>
      <c r="D34" s="182">
        <f t="shared" ca="1" si="1"/>
        <v>38</v>
      </c>
      <c r="E34" s="183" t="s">
        <v>494</v>
      </c>
      <c r="F34" s="143" t="s">
        <v>50</v>
      </c>
      <c r="G34" s="178">
        <v>33402215</v>
      </c>
    </row>
    <row r="35" spans="2:7" s="98" customFormat="1" ht="24" customHeight="1" x14ac:dyDescent="0.2">
      <c r="B35" s="108">
        <v>28974</v>
      </c>
      <c r="C35" s="107">
        <f t="shared" ca="1" si="0"/>
        <v>43005</v>
      </c>
      <c r="D35" s="182">
        <f t="shared" ca="1" si="1"/>
        <v>38</v>
      </c>
      <c r="E35" s="183" t="s">
        <v>495</v>
      </c>
      <c r="F35" s="143" t="s">
        <v>50</v>
      </c>
      <c r="G35" s="178">
        <v>19470585</v>
      </c>
    </row>
    <row r="36" spans="2:7" s="98" customFormat="1" ht="24" customHeight="1" x14ac:dyDescent="0.2">
      <c r="B36" s="108">
        <v>28880</v>
      </c>
      <c r="C36" s="107">
        <f t="shared" ca="1" si="0"/>
        <v>43005</v>
      </c>
      <c r="D36" s="182">
        <f t="shared" ref="D36:D66" ca="1" si="2">INT((C36-B36)/365)</f>
        <v>38</v>
      </c>
      <c r="E36" s="183" t="s">
        <v>495</v>
      </c>
      <c r="F36" s="143" t="s">
        <v>50</v>
      </c>
      <c r="G36" s="178">
        <v>19244050</v>
      </c>
    </row>
    <row r="37" spans="2:7" s="98" customFormat="1" ht="24" customHeight="1" x14ac:dyDescent="0.2">
      <c r="B37" s="108">
        <v>29111</v>
      </c>
      <c r="C37" s="107">
        <f t="shared" ca="1" si="0"/>
        <v>43005</v>
      </c>
      <c r="D37" s="182">
        <f t="shared" ca="1" si="2"/>
        <v>38</v>
      </c>
      <c r="E37" s="183" t="s">
        <v>495</v>
      </c>
      <c r="F37" s="143" t="s">
        <v>50</v>
      </c>
      <c r="G37" s="178">
        <v>60000000</v>
      </c>
    </row>
    <row r="38" spans="2:7" s="95" customFormat="1" ht="24" customHeight="1" x14ac:dyDescent="0.2">
      <c r="B38" s="108">
        <v>28495</v>
      </c>
      <c r="C38" s="107">
        <f t="shared" ca="1" si="0"/>
        <v>43005</v>
      </c>
      <c r="D38" s="182">
        <f t="shared" ca="1" si="2"/>
        <v>39</v>
      </c>
      <c r="E38" s="143" t="s">
        <v>495</v>
      </c>
      <c r="F38" s="143" t="s">
        <v>50</v>
      </c>
      <c r="G38" s="178">
        <v>6800837</v>
      </c>
    </row>
    <row r="39" spans="2:7" s="98" customFormat="1" ht="24" customHeight="1" x14ac:dyDescent="0.2">
      <c r="B39" s="107">
        <v>28458</v>
      </c>
      <c r="C39" s="107">
        <f t="shared" ca="1" si="0"/>
        <v>43005</v>
      </c>
      <c r="D39" s="182">
        <f t="shared" ca="1" si="2"/>
        <v>39</v>
      </c>
      <c r="E39" s="143" t="s">
        <v>494</v>
      </c>
      <c r="F39" s="143" t="s">
        <v>96</v>
      </c>
      <c r="G39" s="178">
        <v>8208584</v>
      </c>
    </row>
    <row r="40" spans="2:7" s="98" customFormat="1" ht="24" customHeight="1" x14ac:dyDescent="0.2">
      <c r="B40" s="108">
        <v>27857</v>
      </c>
      <c r="C40" s="107">
        <f t="shared" ca="1" si="0"/>
        <v>43005</v>
      </c>
      <c r="D40" s="182">
        <f t="shared" ca="1" si="2"/>
        <v>41</v>
      </c>
      <c r="E40" s="183" t="s">
        <v>495</v>
      </c>
      <c r="F40" s="143" t="s">
        <v>50</v>
      </c>
      <c r="G40" s="178">
        <v>10593412</v>
      </c>
    </row>
    <row r="41" spans="2:7" s="98" customFormat="1" ht="24" customHeight="1" x14ac:dyDescent="0.2">
      <c r="B41" s="108">
        <v>27930</v>
      </c>
      <c r="C41" s="107">
        <f t="shared" ca="1" si="0"/>
        <v>43005</v>
      </c>
      <c r="D41" s="182">
        <f t="shared" ca="1" si="2"/>
        <v>41</v>
      </c>
      <c r="E41" s="183" t="s">
        <v>495</v>
      </c>
      <c r="F41" s="143" t="s">
        <v>50</v>
      </c>
      <c r="G41" s="178">
        <v>35000000</v>
      </c>
    </row>
    <row r="42" spans="2:7" s="98" customFormat="1" ht="24" customHeight="1" x14ac:dyDescent="0.2">
      <c r="B42" s="108">
        <v>27666</v>
      </c>
      <c r="C42" s="107">
        <f t="shared" ca="1" si="0"/>
        <v>43005</v>
      </c>
      <c r="D42" s="182">
        <f t="shared" ca="1" si="2"/>
        <v>42</v>
      </c>
      <c r="E42" s="183" t="s">
        <v>494</v>
      </c>
      <c r="F42" s="143" t="s">
        <v>50</v>
      </c>
      <c r="G42" s="178">
        <v>19266926</v>
      </c>
    </row>
    <row r="43" spans="2:7" s="98" customFormat="1" ht="24" customHeight="1" x14ac:dyDescent="0.2">
      <c r="B43" s="108">
        <v>27356</v>
      </c>
      <c r="C43" s="107">
        <f t="shared" ca="1" si="0"/>
        <v>43005</v>
      </c>
      <c r="D43" s="182">
        <f t="shared" ca="1" si="2"/>
        <v>42</v>
      </c>
      <c r="E43" s="183" t="s">
        <v>495</v>
      </c>
      <c r="F43" s="143" t="s">
        <v>50</v>
      </c>
      <c r="G43" s="178">
        <v>38067304</v>
      </c>
    </row>
    <row r="44" spans="2:7" s="98" customFormat="1" ht="24" customHeight="1" x14ac:dyDescent="0.2">
      <c r="B44" s="108">
        <v>26958</v>
      </c>
      <c r="C44" s="107">
        <f t="shared" ca="1" si="0"/>
        <v>43005</v>
      </c>
      <c r="D44" s="182">
        <f t="shared" ca="1" si="2"/>
        <v>43</v>
      </c>
      <c r="E44" s="183" t="s">
        <v>495</v>
      </c>
      <c r="F44" s="143" t="s">
        <v>50</v>
      </c>
      <c r="G44" s="178">
        <v>32415423</v>
      </c>
    </row>
    <row r="45" spans="2:7" s="98" customFormat="1" ht="24" customHeight="1" x14ac:dyDescent="0.2">
      <c r="B45" s="108">
        <v>27296</v>
      </c>
      <c r="C45" s="107">
        <f t="shared" ca="1" si="0"/>
        <v>43005</v>
      </c>
      <c r="D45" s="182">
        <f t="shared" ca="1" si="2"/>
        <v>43</v>
      </c>
      <c r="E45" s="183" t="s">
        <v>495</v>
      </c>
      <c r="F45" s="143" t="s">
        <v>50</v>
      </c>
      <c r="G45" s="178">
        <v>22417369</v>
      </c>
    </row>
    <row r="46" spans="2:7" s="98" customFormat="1" ht="24" customHeight="1" x14ac:dyDescent="0.2">
      <c r="B46" s="108">
        <v>26261</v>
      </c>
      <c r="C46" s="107">
        <f t="shared" ca="1" si="0"/>
        <v>43005</v>
      </c>
      <c r="D46" s="182">
        <f t="shared" ca="1" si="2"/>
        <v>45</v>
      </c>
      <c r="E46" s="183" t="s">
        <v>494</v>
      </c>
      <c r="F46" s="143" t="s">
        <v>50</v>
      </c>
      <c r="G46" s="178">
        <v>45000000</v>
      </c>
    </row>
    <row r="47" spans="2:7" s="95" customFormat="1" ht="24" customHeight="1" x14ac:dyDescent="0.2">
      <c r="B47" s="107">
        <v>25978</v>
      </c>
      <c r="C47" s="107">
        <f t="shared" ca="1" si="0"/>
        <v>43005</v>
      </c>
      <c r="D47" s="182">
        <f t="shared" ca="1" si="2"/>
        <v>46</v>
      </c>
      <c r="E47" s="143" t="s">
        <v>495</v>
      </c>
      <c r="F47" s="143" t="s">
        <v>50</v>
      </c>
      <c r="G47" s="178">
        <v>8192452</v>
      </c>
    </row>
    <row r="48" spans="2:7" s="95" customFormat="1" ht="24" customHeight="1" x14ac:dyDescent="0.2">
      <c r="B48" s="107">
        <v>25627</v>
      </c>
      <c r="C48" s="107">
        <f t="shared" ca="1" si="0"/>
        <v>43005</v>
      </c>
      <c r="D48" s="182">
        <f t="shared" ca="1" si="2"/>
        <v>47</v>
      </c>
      <c r="E48" s="143" t="s">
        <v>495</v>
      </c>
      <c r="F48" s="143" t="s">
        <v>50</v>
      </c>
      <c r="G48" s="178">
        <v>14337233</v>
      </c>
    </row>
    <row r="49" spans="2:7" s="95" customFormat="1" ht="24" customHeight="1" x14ac:dyDescent="0.2">
      <c r="B49" s="107">
        <v>25695</v>
      </c>
      <c r="C49" s="107">
        <f t="shared" ca="1" si="0"/>
        <v>43005</v>
      </c>
      <c r="D49" s="182">
        <f t="shared" ca="1" si="2"/>
        <v>47</v>
      </c>
      <c r="E49" s="143" t="s">
        <v>494</v>
      </c>
      <c r="F49" s="143" t="s">
        <v>50</v>
      </c>
      <c r="G49" s="178">
        <v>6903371</v>
      </c>
    </row>
    <row r="50" spans="2:7" s="95" customFormat="1" ht="24" customHeight="1" x14ac:dyDescent="0.2">
      <c r="B50" s="109">
        <v>25581</v>
      </c>
      <c r="C50" s="107">
        <f t="shared" ca="1" si="0"/>
        <v>43005</v>
      </c>
      <c r="D50" s="182">
        <f t="shared" ca="1" si="2"/>
        <v>47</v>
      </c>
      <c r="E50" s="184" t="s">
        <v>494</v>
      </c>
      <c r="F50" s="143" t="s">
        <v>50</v>
      </c>
      <c r="G50" s="178">
        <v>38008015</v>
      </c>
    </row>
    <row r="51" spans="2:7" s="98" customFormat="1" ht="24" customHeight="1" x14ac:dyDescent="0.2">
      <c r="B51" s="108">
        <v>25549</v>
      </c>
      <c r="C51" s="107">
        <f t="shared" ca="1" si="0"/>
        <v>43005</v>
      </c>
      <c r="D51" s="182">
        <f t="shared" ca="1" si="2"/>
        <v>47</v>
      </c>
      <c r="E51" s="183" t="s">
        <v>495</v>
      </c>
      <c r="F51" s="143" t="s">
        <v>50</v>
      </c>
      <c r="G51" s="178">
        <v>37000000</v>
      </c>
    </row>
    <row r="52" spans="2:7" s="98" customFormat="1" ht="24" customHeight="1" x14ac:dyDescent="0.2">
      <c r="B52" s="108">
        <v>25217</v>
      </c>
      <c r="C52" s="107">
        <f t="shared" ca="1" si="0"/>
        <v>43005</v>
      </c>
      <c r="D52" s="182">
        <f t="shared" ca="1" si="2"/>
        <v>48</v>
      </c>
      <c r="E52" s="183" t="s">
        <v>495</v>
      </c>
      <c r="F52" s="143" t="s">
        <v>50</v>
      </c>
      <c r="G52" s="178">
        <v>21049642</v>
      </c>
    </row>
    <row r="53" spans="2:7" s="98" customFormat="1" ht="24" customHeight="1" x14ac:dyDescent="0.2">
      <c r="B53" s="108">
        <v>24619</v>
      </c>
      <c r="C53" s="107">
        <f t="shared" ca="1" si="0"/>
        <v>43005</v>
      </c>
      <c r="D53" s="182">
        <f t="shared" ca="1" si="2"/>
        <v>50</v>
      </c>
      <c r="E53" s="183" t="s">
        <v>495</v>
      </c>
      <c r="F53" s="143" t="s">
        <v>50</v>
      </c>
      <c r="G53" s="178">
        <v>31755912</v>
      </c>
    </row>
    <row r="54" spans="2:7" s="98" customFormat="1" ht="24" customHeight="1" x14ac:dyDescent="0.2">
      <c r="B54" s="108">
        <v>24526</v>
      </c>
      <c r="C54" s="107">
        <f t="shared" ca="1" si="0"/>
        <v>43005</v>
      </c>
      <c r="D54" s="182">
        <f t="shared" ca="1" si="2"/>
        <v>50</v>
      </c>
      <c r="E54" s="183" t="s">
        <v>494</v>
      </c>
      <c r="F54" s="143" t="s">
        <v>50</v>
      </c>
      <c r="G54" s="178">
        <v>30792000</v>
      </c>
    </row>
    <row r="55" spans="2:7" s="95" customFormat="1" ht="24" customHeight="1" x14ac:dyDescent="0.2">
      <c r="B55" s="107">
        <v>24348</v>
      </c>
      <c r="C55" s="107">
        <f t="shared" ca="1" si="0"/>
        <v>43005</v>
      </c>
      <c r="D55" s="182">
        <f t="shared" ca="1" si="2"/>
        <v>51</v>
      </c>
      <c r="E55" s="143" t="s">
        <v>494</v>
      </c>
      <c r="F55" s="143" t="s">
        <v>50</v>
      </c>
      <c r="G55" s="178">
        <v>5773959</v>
      </c>
    </row>
    <row r="56" spans="2:7" s="98" customFormat="1" ht="24" customHeight="1" x14ac:dyDescent="0.2">
      <c r="B56" s="107">
        <v>24191</v>
      </c>
      <c r="C56" s="107">
        <f t="shared" ca="1" si="0"/>
        <v>43005</v>
      </c>
      <c r="D56" s="182">
        <f t="shared" ca="1" si="2"/>
        <v>51</v>
      </c>
      <c r="E56" s="183" t="s">
        <v>494</v>
      </c>
      <c r="F56" s="143" t="s">
        <v>50</v>
      </c>
      <c r="G56" s="178">
        <v>37000000</v>
      </c>
    </row>
    <row r="57" spans="2:7" s="95" customFormat="1" ht="24" customHeight="1" x14ac:dyDescent="0.2">
      <c r="B57" s="107">
        <v>23654</v>
      </c>
      <c r="C57" s="107">
        <f t="shared" ca="1" si="0"/>
        <v>43005</v>
      </c>
      <c r="D57" s="182">
        <f t="shared" ca="1" si="2"/>
        <v>53</v>
      </c>
      <c r="E57" s="143" t="s">
        <v>495</v>
      </c>
      <c r="F57" s="143" t="s">
        <v>50</v>
      </c>
      <c r="G57" s="178">
        <v>6649244</v>
      </c>
    </row>
    <row r="58" spans="2:7" s="95" customFormat="1" ht="24" customHeight="1" x14ac:dyDescent="0.2">
      <c r="B58" s="107">
        <v>23784</v>
      </c>
      <c r="C58" s="107">
        <f t="shared" ca="1" si="0"/>
        <v>43005</v>
      </c>
      <c r="D58" s="182">
        <f t="shared" ca="1" si="2"/>
        <v>52</v>
      </c>
      <c r="E58" s="143" t="s">
        <v>494</v>
      </c>
      <c r="F58" s="143" t="s">
        <v>50</v>
      </c>
      <c r="G58" s="178">
        <v>10201015</v>
      </c>
    </row>
    <row r="59" spans="2:7" s="98" customFormat="1" ht="24" customHeight="1" x14ac:dyDescent="0.2">
      <c r="B59" s="108">
        <v>23766</v>
      </c>
      <c r="C59" s="107">
        <f t="shared" ca="1" si="0"/>
        <v>43005</v>
      </c>
      <c r="D59" s="182">
        <f t="shared" ca="1" si="2"/>
        <v>52</v>
      </c>
      <c r="E59" s="183" t="s">
        <v>495</v>
      </c>
      <c r="F59" s="143" t="s">
        <v>50</v>
      </c>
      <c r="G59" s="178">
        <v>42474592</v>
      </c>
    </row>
    <row r="60" spans="2:7" s="98" customFormat="1" ht="24" customHeight="1" x14ac:dyDescent="0.2">
      <c r="B60" s="108">
        <v>23887</v>
      </c>
      <c r="C60" s="107">
        <f t="shared" ca="1" si="0"/>
        <v>43005</v>
      </c>
      <c r="D60" s="182">
        <f t="shared" ca="1" si="2"/>
        <v>52</v>
      </c>
      <c r="E60" s="183" t="s">
        <v>495</v>
      </c>
      <c r="F60" s="143" t="s">
        <v>50</v>
      </c>
      <c r="G60" s="178">
        <v>33660000</v>
      </c>
    </row>
    <row r="61" spans="2:7" s="98" customFormat="1" ht="24" customHeight="1" x14ac:dyDescent="0.2">
      <c r="B61" s="108">
        <v>23296</v>
      </c>
      <c r="C61" s="107">
        <f t="shared" ca="1" si="0"/>
        <v>43005</v>
      </c>
      <c r="D61" s="182">
        <f t="shared" ca="1" si="2"/>
        <v>53</v>
      </c>
      <c r="E61" s="183" t="s">
        <v>495</v>
      </c>
      <c r="F61" s="143" t="s">
        <v>50</v>
      </c>
      <c r="G61" s="178">
        <v>14509051</v>
      </c>
    </row>
    <row r="62" spans="2:7" s="98" customFormat="1" ht="24" customHeight="1" x14ac:dyDescent="0.2">
      <c r="B62" s="108">
        <v>23410</v>
      </c>
      <c r="C62" s="107">
        <f t="shared" ca="1" si="0"/>
        <v>43005</v>
      </c>
      <c r="D62" s="182">
        <f t="shared" ca="1" si="2"/>
        <v>53</v>
      </c>
      <c r="E62" s="183" t="s">
        <v>495</v>
      </c>
      <c r="F62" s="143" t="s">
        <v>50</v>
      </c>
      <c r="G62" s="178">
        <v>36539626</v>
      </c>
    </row>
    <row r="63" spans="2:7" s="98" customFormat="1" ht="24" customHeight="1" x14ac:dyDescent="0.2">
      <c r="B63" s="108">
        <v>22883</v>
      </c>
      <c r="C63" s="107">
        <f t="shared" ca="1" si="0"/>
        <v>43005</v>
      </c>
      <c r="D63" s="182">
        <f t="shared" ca="1" si="2"/>
        <v>55</v>
      </c>
      <c r="E63" s="183" t="s">
        <v>494</v>
      </c>
      <c r="F63" s="143" t="s">
        <v>50</v>
      </c>
      <c r="G63" s="178">
        <v>22306088</v>
      </c>
    </row>
    <row r="64" spans="2:7" s="98" customFormat="1" ht="24" customHeight="1" x14ac:dyDescent="0.2">
      <c r="B64" s="108">
        <v>22850</v>
      </c>
      <c r="C64" s="107">
        <f t="shared" ca="1" si="0"/>
        <v>43005</v>
      </c>
      <c r="D64" s="182">
        <f t="shared" ca="1" si="2"/>
        <v>55</v>
      </c>
      <c r="E64" s="183" t="s">
        <v>495</v>
      </c>
      <c r="F64" s="143" t="s">
        <v>50</v>
      </c>
      <c r="G64" s="178">
        <v>32215880</v>
      </c>
    </row>
    <row r="65" spans="2:8" s="98" customFormat="1" ht="24" customHeight="1" x14ac:dyDescent="0.2">
      <c r="B65" s="108">
        <v>22732</v>
      </c>
      <c r="C65" s="107">
        <f t="shared" ca="1" si="0"/>
        <v>43005</v>
      </c>
      <c r="D65" s="182">
        <f t="shared" ca="1" si="2"/>
        <v>55</v>
      </c>
      <c r="E65" s="183" t="s">
        <v>495</v>
      </c>
      <c r="F65" s="143" t="s">
        <v>50</v>
      </c>
      <c r="G65" s="178">
        <v>35192000</v>
      </c>
    </row>
    <row r="66" spans="2:8" s="95" customFormat="1" ht="24" customHeight="1" x14ac:dyDescent="0.2">
      <c r="B66" s="107">
        <v>19864</v>
      </c>
      <c r="C66" s="107">
        <f ca="1">TODAY()</f>
        <v>43005</v>
      </c>
      <c r="D66" s="182">
        <f t="shared" ca="1" si="2"/>
        <v>63</v>
      </c>
      <c r="E66" s="143" t="s">
        <v>494</v>
      </c>
      <c r="F66" s="143" t="s">
        <v>50</v>
      </c>
      <c r="G66" s="178">
        <v>12047023</v>
      </c>
    </row>
    <row r="67" spans="2:8" s="98" customFormat="1" ht="24" customHeight="1" x14ac:dyDescent="0.2">
      <c r="B67" s="108">
        <v>18330</v>
      </c>
      <c r="C67" s="107">
        <f t="shared" ca="1" si="0"/>
        <v>43005</v>
      </c>
      <c r="D67" s="182">
        <f t="shared" ref="D67" ca="1" si="3">INT((C67-B67)/365)</f>
        <v>67</v>
      </c>
      <c r="E67" s="183" t="s">
        <v>494</v>
      </c>
      <c r="F67" s="143" t="s">
        <v>50</v>
      </c>
      <c r="G67" s="178">
        <v>15486620</v>
      </c>
    </row>
    <row r="68" spans="2:8" s="95" customFormat="1" ht="24" customHeight="1" x14ac:dyDescent="0.2">
      <c r="B68" s="112"/>
      <c r="C68" s="112"/>
      <c r="D68" s="112"/>
      <c r="E68" s="119"/>
      <c r="F68" s="120"/>
      <c r="G68" s="120"/>
      <c r="H68" s="120"/>
    </row>
    <row r="69" spans="2:8" s="95" customFormat="1" ht="24" customHeight="1" x14ac:dyDescent="0.2">
      <c r="B69" s="112"/>
      <c r="C69" s="112"/>
      <c r="D69" s="112"/>
      <c r="E69" s="119"/>
      <c r="F69" s="120"/>
      <c r="G69" s="120"/>
      <c r="H69" s="120"/>
    </row>
    <row r="70" spans="2:8" s="95" customFormat="1" ht="24" customHeight="1" x14ac:dyDescent="0.2">
      <c r="B70" s="112"/>
      <c r="C70" s="112"/>
      <c r="D70" s="112"/>
      <c r="E70" s="119"/>
      <c r="F70" s="120"/>
      <c r="G70" s="120"/>
      <c r="H70" s="120"/>
    </row>
    <row r="71" spans="2:8" s="95" customFormat="1" ht="24" customHeight="1" x14ac:dyDescent="0.2">
      <c r="B71" s="112"/>
      <c r="C71" s="112"/>
      <c r="D71" s="112"/>
      <c r="E71" s="119"/>
      <c r="F71" s="120"/>
      <c r="G71" s="120"/>
      <c r="H71" s="120"/>
    </row>
    <row r="72" spans="2:8" s="95" customFormat="1" ht="24" customHeight="1" x14ac:dyDescent="0.2">
      <c r="B72" s="112"/>
      <c r="C72" s="112"/>
      <c r="D72" s="112"/>
      <c r="E72" s="119"/>
      <c r="F72" s="120"/>
      <c r="G72" s="120"/>
      <c r="H72" s="120"/>
    </row>
    <row r="73" spans="2:8" s="95" customFormat="1" ht="24" customHeight="1" x14ac:dyDescent="0.2">
      <c r="B73" s="112"/>
      <c r="C73" s="112"/>
      <c r="D73" s="112"/>
      <c r="E73" s="119"/>
      <c r="F73" s="120"/>
      <c r="G73" s="120"/>
      <c r="H73" s="120"/>
    </row>
    <row r="74" spans="2:8" s="95" customFormat="1" ht="24" customHeight="1" x14ac:dyDescent="0.2">
      <c r="B74" s="112"/>
      <c r="C74" s="112"/>
      <c r="D74" s="112"/>
      <c r="E74" s="119"/>
      <c r="F74" s="120"/>
      <c r="G74" s="120"/>
      <c r="H74" s="120"/>
    </row>
    <row r="75" spans="2:8" s="95" customFormat="1" ht="24" customHeight="1" x14ac:dyDescent="0.2">
      <c r="B75" s="112"/>
      <c r="C75" s="112"/>
      <c r="D75" s="112"/>
      <c r="E75" s="119"/>
      <c r="F75" s="120"/>
      <c r="G75" s="120"/>
      <c r="H75" s="120"/>
    </row>
    <row r="76" spans="2:8" s="95" customFormat="1" ht="24" customHeight="1" x14ac:dyDescent="0.2">
      <c r="B76" s="112"/>
      <c r="C76" s="112"/>
      <c r="D76" s="112"/>
      <c r="E76" s="119"/>
      <c r="F76" s="120"/>
      <c r="G76" s="120"/>
      <c r="H76" s="120"/>
    </row>
    <row r="77" spans="2:8" s="95" customFormat="1" ht="24" customHeight="1" x14ac:dyDescent="0.2">
      <c r="B77" s="112"/>
      <c r="C77" s="112"/>
      <c r="D77" s="112"/>
      <c r="E77" s="119"/>
      <c r="F77" s="120"/>
      <c r="G77" s="120"/>
      <c r="H77" s="120"/>
    </row>
    <row r="78" spans="2:8" s="95" customFormat="1" ht="24" customHeight="1" x14ac:dyDescent="0.2">
      <c r="B78" s="112"/>
      <c r="C78" s="112"/>
      <c r="D78" s="112"/>
      <c r="E78" s="119"/>
      <c r="F78" s="120"/>
      <c r="G78" s="120"/>
      <c r="H78" s="120"/>
    </row>
    <row r="79" spans="2:8" s="95" customFormat="1" ht="24" customHeight="1" x14ac:dyDescent="0.2">
      <c r="B79" s="112"/>
      <c r="C79" s="112"/>
      <c r="D79" s="112"/>
      <c r="E79" s="119"/>
      <c r="F79" s="120"/>
      <c r="G79" s="120"/>
      <c r="H79" s="120"/>
    </row>
    <row r="80" spans="2:8" s="95" customFormat="1" ht="24" customHeight="1" x14ac:dyDescent="0.2">
      <c r="B80" s="112"/>
      <c r="C80" s="112"/>
      <c r="D80" s="112"/>
      <c r="E80" s="119"/>
      <c r="F80" s="120"/>
      <c r="G80" s="120"/>
      <c r="H80" s="120"/>
    </row>
    <row r="81" spans="2:8" s="95" customFormat="1" ht="24" customHeight="1" x14ac:dyDescent="0.2">
      <c r="B81" s="112"/>
      <c r="C81" s="112"/>
      <c r="D81" s="112"/>
      <c r="E81" s="119"/>
      <c r="F81" s="120"/>
      <c r="G81" s="120"/>
      <c r="H81" s="120"/>
    </row>
    <row r="82" spans="2:8" s="95" customFormat="1" ht="24" customHeight="1" x14ac:dyDescent="0.2">
      <c r="B82" s="112"/>
      <c r="C82" s="112"/>
      <c r="D82" s="112"/>
      <c r="E82" s="119"/>
      <c r="F82" s="120"/>
      <c r="G82" s="120"/>
      <c r="H82" s="120"/>
    </row>
    <row r="83" spans="2:8" s="95" customFormat="1" ht="24" customHeight="1" x14ac:dyDescent="0.2">
      <c r="B83" s="112"/>
      <c r="C83" s="112"/>
      <c r="D83" s="112"/>
      <c r="E83" s="119"/>
      <c r="F83" s="120"/>
      <c r="G83" s="120"/>
      <c r="H83" s="120"/>
    </row>
    <row r="84" spans="2:8" s="95" customFormat="1" ht="24" customHeight="1" x14ac:dyDescent="0.2">
      <c r="B84" s="112"/>
      <c r="C84" s="112"/>
      <c r="D84" s="112"/>
      <c r="E84" s="119"/>
      <c r="F84" s="120"/>
      <c r="G84" s="120"/>
      <c r="H84" s="120"/>
    </row>
    <row r="85" spans="2:8" s="95" customFormat="1" ht="24" customHeight="1" x14ac:dyDescent="0.2">
      <c r="B85" s="112"/>
      <c r="C85" s="112"/>
      <c r="D85" s="112"/>
      <c r="E85" s="119"/>
      <c r="F85" s="120"/>
      <c r="G85" s="120"/>
      <c r="H85" s="120"/>
    </row>
    <row r="86" spans="2:8" s="95" customFormat="1" ht="24" customHeight="1" x14ac:dyDescent="0.2">
      <c r="B86" s="112"/>
      <c r="C86" s="112"/>
      <c r="D86" s="112"/>
      <c r="E86" s="119"/>
      <c r="F86" s="120"/>
      <c r="G86" s="120"/>
      <c r="H86" s="120"/>
    </row>
    <row r="87" spans="2:8" s="95" customFormat="1" ht="24" customHeight="1" x14ac:dyDescent="0.2">
      <c r="B87" s="112"/>
      <c r="C87" s="112"/>
      <c r="D87" s="112"/>
      <c r="E87" s="119"/>
      <c r="F87" s="120"/>
      <c r="G87" s="120"/>
      <c r="H87" s="120"/>
    </row>
    <row r="88" spans="2:8" s="95" customFormat="1" ht="24" customHeight="1" x14ac:dyDescent="0.2">
      <c r="B88" s="112"/>
      <c r="C88" s="112"/>
      <c r="D88" s="112"/>
      <c r="E88" s="119"/>
      <c r="F88" s="120"/>
      <c r="G88" s="120"/>
      <c r="H88" s="120"/>
    </row>
    <row r="89" spans="2:8" s="95" customFormat="1" ht="24" customHeight="1" x14ac:dyDescent="0.2">
      <c r="B89" s="112"/>
      <c r="C89" s="112"/>
      <c r="D89" s="112"/>
      <c r="E89" s="119"/>
      <c r="F89" s="120"/>
      <c r="G89" s="120"/>
      <c r="H89" s="120"/>
    </row>
    <row r="90" spans="2:8" s="95" customFormat="1" ht="24" customHeight="1" x14ac:dyDescent="0.2">
      <c r="B90" s="112"/>
      <c r="C90" s="112"/>
      <c r="D90" s="112"/>
      <c r="E90" s="119"/>
      <c r="F90" s="120"/>
      <c r="G90" s="120"/>
      <c r="H90" s="120"/>
    </row>
    <row r="91" spans="2:8" s="95" customFormat="1" ht="24" customHeight="1" x14ac:dyDescent="0.2">
      <c r="B91" s="112"/>
      <c r="C91" s="112"/>
      <c r="D91" s="112"/>
      <c r="E91" s="119"/>
      <c r="F91" s="120"/>
      <c r="G91" s="120"/>
      <c r="H91" s="120"/>
    </row>
    <row r="92" spans="2:8" s="95" customFormat="1" ht="24" customHeight="1" x14ac:dyDescent="0.2">
      <c r="B92" s="112"/>
      <c r="C92" s="112"/>
      <c r="D92" s="112"/>
      <c r="E92" s="119"/>
      <c r="F92" s="120"/>
      <c r="G92" s="120"/>
      <c r="H92" s="120"/>
    </row>
    <row r="93" spans="2:8" s="95" customFormat="1" ht="24" customHeight="1" x14ac:dyDescent="0.2">
      <c r="B93" s="112"/>
      <c r="C93" s="112"/>
      <c r="D93" s="112"/>
      <c r="E93" s="119"/>
      <c r="F93" s="120"/>
      <c r="G93" s="120"/>
      <c r="H93" s="120"/>
    </row>
    <row r="94" spans="2:8" s="95" customFormat="1" ht="24" customHeight="1" x14ac:dyDescent="0.2">
      <c r="B94" s="112"/>
      <c r="C94" s="112"/>
      <c r="D94" s="112"/>
      <c r="E94" s="119"/>
      <c r="F94" s="120"/>
      <c r="G94" s="120"/>
      <c r="H94" s="120"/>
    </row>
    <row r="95" spans="2:8" s="95" customFormat="1" ht="24" customHeight="1" x14ac:dyDescent="0.2">
      <c r="B95" s="112"/>
      <c r="C95" s="112"/>
      <c r="D95" s="112"/>
      <c r="E95" s="119"/>
      <c r="F95" s="120"/>
      <c r="G95" s="120"/>
      <c r="H95" s="120"/>
    </row>
    <row r="96" spans="2:8" s="95" customFormat="1" ht="24" customHeight="1" x14ac:dyDescent="0.2">
      <c r="B96" s="112"/>
      <c r="C96" s="112"/>
      <c r="D96" s="112"/>
      <c r="E96" s="119"/>
      <c r="F96" s="120"/>
      <c r="G96" s="120"/>
      <c r="H96" s="120"/>
    </row>
    <row r="97" spans="2:8" s="95" customFormat="1" ht="24" customHeight="1" x14ac:dyDescent="0.2">
      <c r="B97" s="112"/>
      <c r="C97" s="112"/>
      <c r="D97" s="112"/>
      <c r="E97" s="119"/>
      <c r="F97" s="120"/>
      <c r="G97" s="120"/>
      <c r="H97" s="120"/>
    </row>
    <row r="98" spans="2:8" s="95" customFormat="1" ht="24" customHeight="1" x14ac:dyDescent="0.2">
      <c r="B98" s="112"/>
      <c r="C98" s="112"/>
      <c r="D98" s="112"/>
      <c r="E98" s="119"/>
      <c r="F98" s="120"/>
      <c r="G98" s="120"/>
      <c r="H98" s="120"/>
    </row>
    <row r="99" spans="2:8" s="95" customFormat="1" ht="24" customHeight="1" x14ac:dyDescent="0.2">
      <c r="B99" s="112"/>
      <c r="C99" s="112"/>
      <c r="D99" s="112"/>
      <c r="E99" s="119"/>
      <c r="F99" s="120"/>
      <c r="G99" s="120"/>
      <c r="H99" s="120"/>
    </row>
    <row r="100" spans="2:8" ht="24" customHeight="1" x14ac:dyDescent="0.2">
      <c r="B100" s="112"/>
      <c r="C100" s="112"/>
      <c r="D100" s="112"/>
    </row>
    <row r="101" spans="2:8" ht="24" customHeight="1" x14ac:dyDescent="0.2">
      <c r="B101" s="112"/>
      <c r="C101" s="112"/>
      <c r="D101" s="112"/>
    </row>
    <row r="102" spans="2:8" ht="24" customHeight="1" x14ac:dyDescent="0.2">
      <c r="B102" s="112"/>
      <c r="C102" s="112"/>
      <c r="D102" s="112"/>
    </row>
    <row r="103" spans="2:8" ht="24" customHeight="1" x14ac:dyDescent="0.2">
      <c r="B103" s="112"/>
      <c r="C103" s="112"/>
      <c r="D103" s="112"/>
    </row>
    <row r="104" spans="2:8" ht="24" customHeight="1" x14ac:dyDescent="0.2">
      <c r="B104" s="112"/>
      <c r="C104" s="112"/>
      <c r="D104" s="112"/>
    </row>
    <row r="105" spans="2:8" ht="24" customHeight="1" x14ac:dyDescent="0.2">
      <c r="B105" s="112"/>
      <c r="C105" s="112"/>
      <c r="D105" s="112"/>
    </row>
    <row r="106" spans="2:8" ht="24" customHeight="1" x14ac:dyDescent="0.2">
      <c r="B106" s="112"/>
      <c r="C106" s="112"/>
      <c r="D106" s="112"/>
    </row>
    <row r="107" spans="2:8" ht="24" customHeight="1" x14ac:dyDescent="0.2">
      <c r="B107" s="112"/>
      <c r="C107" s="112"/>
      <c r="D107" s="112"/>
    </row>
    <row r="108" spans="2:8" ht="24" customHeight="1" x14ac:dyDescent="0.2">
      <c r="B108" s="112"/>
      <c r="C108" s="112"/>
      <c r="D108" s="112"/>
    </row>
    <row r="109" spans="2:8" ht="24" customHeight="1" x14ac:dyDescent="0.2">
      <c r="B109" s="112"/>
      <c r="C109" s="112"/>
      <c r="D109" s="112"/>
    </row>
    <row r="110" spans="2:8" ht="24" customHeight="1" x14ac:dyDescent="0.2">
      <c r="B110" s="112"/>
      <c r="C110" s="112"/>
      <c r="D110" s="112"/>
    </row>
    <row r="111" spans="2:8" ht="24" customHeight="1" x14ac:dyDescent="0.2">
      <c r="B111" s="112"/>
      <c r="C111" s="112"/>
      <c r="D111" s="112"/>
    </row>
    <row r="112" spans="2:8" ht="24" customHeight="1" x14ac:dyDescent="0.2">
      <c r="B112" s="112"/>
      <c r="C112" s="112"/>
      <c r="D112" s="112"/>
    </row>
    <row r="113" spans="2:4" ht="24" customHeight="1" x14ac:dyDescent="0.2">
      <c r="B113" s="112"/>
      <c r="C113" s="112"/>
      <c r="D113" s="112"/>
    </row>
    <row r="114" spans="2:4" ht="24" customHeight="1" x14ac:dyDescent="0.2">
      <c r="B114" s="112"/>
      <c r="C114" s="112"/>
      <c r="D114" s="112"/>
    </row>
    <row r="115" spans="2:4" ht="24" customHeight="1" x14ac:dyDescent="0.2">
      <c r="B115" s="112"/>
      <c r="C115" s="112"/>
      <c r="D115" s="112"/>
    </row>
    <row r="116" spans="2:4" ht="24" customHeight="1" x14ac:dyDescent="0.2">
      <c r="B116" s="112"/>
      <c r="C116" s="112"/>
      <c r="D116" s="112"/>
    </row>
    <row r="117" spans="2:4" ht="24" customHeight="1" x14ac:dyDescent="0.2">
      <c r="B117" s="112"/>
      <c r="C117" s="112"/>
      <c r="D117" s="112"/>
    </row>
    <row r="118" spans="2:4" ht="24" customHeight="1" x14ac:dyDescent="0.2">
      <c r="B118" s="112"/>
      <c r="C118" s="112"/>
      <c r="D118" s="112"/>
    </row>
    <row r="119" spans="2:4" ht="24" customHeight="1" x14ac:dyDescent="0.2">
      <c r="B119" s="112"/>
      <c r="C119" s="112"/>
      <c r="D119" s="112"/>
    </row>
    <row r="120" spans="2:4" ht="24" customHeight="1" x14ac:dyDescent="0.2">
      <c r="B120" s="112"/>
      <c r="C120" s="112"/>
      <c r="D120" s="112"/>
    </row>
    <row r="121" spans="2:4" ht="24" customHeight="1" x14ac:dyDescent="0.2">
      <c r="B121" s="112"/>
      <c r="C121" s="112"/>
      <c r="D121" s="112"/>
    </row>
    <row r="122" spans="2:4" ht="24" customHeight="1" x14ac:dyDescent="0.2">
      <c r="B122" s="112"/>
      <c r="C122" s="112"/>
      <c r="D122" s="112"/>
    </row>
    <row r="123" spans="2:4" ht="24" customHeight="1" x14ac:dyDescent="0.2">
      <c r="B123" s="112"/>
      <c r="C123" s="112"/>
      <c r="D123" s="112"/>
    </row>
    <row r="124" spans="2:4" ht="24" customHeight="1" x14ac:dyDescent="0.2">
      <c r="B124" s="112"/>
      <c r="C124" s="112"/>
      <c r="D124" s="112"/>
    </row>
    <row r="125" spans="2:4" ht="24" customHeight="1" x14ac:dyDescent="0.2">
      <c r="B125" s="112"/>
      <c r="C125" s="112"/>
      <c r="D125" s="112"/>
    </row>
    <row r="126" spans="2:4" ht="24" customHeight="1" x14ac:dyDescent="0.2">
      <c r="B126" s="112"/>
      <c r="C126" s="112"/>
      <c r="D126" s="112"/>
    </row>
    <row r="127" spans="2:4" ht="24" customHeight="1" x14ac:dyDescent="0.2">
      <c r="B127" s="112"/>
      <c r="C127" s="112"/>
      <c r="D127" s="112"/>
    </row>
    <row r="128" spans="2:4" ht="24" customHeight="1" x14ac:dyDescent="0.2">
      <c r="B128" s="112"/>
      <c r="C128" s="112"/>
      <c r="D128" s="112"/>
    </row>
    <row r="129" spans="2:7" ht="24" customHeight="1" x14ac:dyDescent="0.2">
      <c r="B129" s="112"/>
      <c r="C129" s="112"/>
      <c r="D129" s="112"/>
    </row>
    <row r="130" spans="2:7" ht="24" customHeight="1" x14ac:dyDescent="0.2">
      <c r="B130" s="112"/>
      <c r="C130" s="112"/>
      <c r="D130" s="112"/>
    </row>
    <row r="131" spans="2:7" ht="24" customHeight="1" x14ac:dyDescent="0.2">
      <c r="B131" s="112"/>
      <c r="C131" s="112"/>
      <c r="D131" s="112"/>
    </row>
    <row r="132" spans="2:7" ht="24" customHeight="1" x14ac:dyDescent="0.2">
      <c r="B132" s="112"/>
      <c r="C132" s="112"/>
      <c r="D132" s="112"/>
    </row>
    <row r="133" spans="2:7" ht="24" customHeight="1" x14ac:dyDescent="0.2">
      <c r="B133" s="112"/>
      <c r="C133" s="112"/>
      <c r="D133" s="112"/>
    </row>
    <row r="134" spans="2:7" ht="24" customHeight="1" x14ac:dyDescent="0.2">
      <c r="B134" s="112"/>
      <c r="C134" s="112"/>
      <c r="D134" s="112"/>
    </row>
    <row r="135" spans="2:7" ht="24" customHeight="1" x14ac:dyDescent="0.2">
      <c r="B135" s="112"/>
      <c r="C135" s="112"/>
      <c r="D135" s="112"/>
    </row>
    <row r="136" spans="2:7" ht="24" customHeight="1" x14ac:dyDescent="0.2">
      <c r="B136" s="112"/>
      <c r="C136" s="112"/>
      <c r="D136" s="112"/>
    </row>
    <row r="137" spans="2:7" ht="24" customHeight="1" x14ac:dyDescent="0.2">
      <c r="G137" s="113"/>
    </row>
    <row r="138" spans="2:7" ht="24" customHeight="1" x14ac:dyDescent="0.2">
      <c r="G138" s="1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2"/>
  <sheetViews>
    <sheetView workbookViewId="0">
      <selection activeCell="F3" sqref="F3"/>
    </sheetView>
  </sheetViews>
  <sheetFormatPr baseColWidth="10" defaultColWidth="51" defaultRowHeight="28.5" customHeight="1" x14ac:dyDescent="0.2"/>
  <cols>
    <col min="1" max="1" width="9.140625" style="97" customWidth="1"/>
    <col min="2" max="2" width="11.140625" style="149" bestFit="1" customWidth="1"/>
    <col min="3" max="4" width="11.42578125" style="149" customWidth="1"/>
    <col min="5" max="5" width="32.85546875" style="149" customWidth="1"/>
    <col min="6" max="6" width="11.5703125" style="150" customWidth="1"/>
    <col min="7" max="7" width="20" style="150" customWidth="1"/>
    <col min="8" max="8" width="14.5703125" style="150" customWidth="1"/>
    <col min="9" max="16384" width="51" style="97"/>
  </cols>
  <sheetData>
    <row r="1" spans="2:8" s="100" customFormat="1" ht="28.5" customHeight="1" x14ac:dyDescent="0.2">
      <c r="B1" s="127">
        <v>1</v>
      </c>
      <c r="C1" s="127">
        <v>2</v>
      </c>
      <c r="D1" s="127"/>
      <c r="E1" s="127">
        <v>3</v>
      </c>
      <c r="F1" s="127"/>
      <c r="G1" s="127"/>
      <c r="H1" s="127"/>
    </row>
    <row r="2" spans="2:8" ht="28.5" customHeight="1" x14ac:dyDescent="0.2">
      <c r="B2" s="128"/>
      <c r="C2" s="129"/>
      <c r="D2" s="129"/>
      <c r="E2" s="130"/>
      <c r="F2" s="128"/>
      <c r="G2" s="131"/>
      <c r="H2" s="131"/>
    </row>
    <row r="3" spans="2:8" ht="28.5" customHeight="1" x14ac:dyDescent="0.2">
      <c r="B3" s="132" t="s">
        <v>0</v>
      </c>
      <c r="C3" s="132" t="s">
        <v>493</v>
      </c>
      <c r="D3" s="132" t="s">
        <v>458</v>
      </c>
      <c r="E3" s="132" t="s">
        <v>492</v>
      </c>
      <c r="F3" s="132" t="s">
        <v>49</v>
      </c>
      <c r="G3" s="132" t="s">
        <v>496</v>
      </c>
      <c r="H3" s="97"/>
    </row>
    <row r="4" spans="2:8" s="105" customFormat="1" ht="28.5" customHeight="1" x14ac:dyDescent="0.2">
      <c r="B4" s="146">
        <v>32815</v>
      </c>
      <c r="C4" s="133">
        <f t="shared" ref="C4:C189" ca="1" si="0">TODAY()</f>
        <v>43005</v>
      </c>
      <c r="D4" s="134">
        <f t="shared" ref="D4" ca="1" si="1">INT((C4-B4)/365)</f>
        <v>27</v>
      </c>
      <c r="E4" s="135" t="s">
        <v>495</v>
      </c>
      <c r="F4" s="135" t="s">
        <v>50</v>
      </c>
      <c r="G4" s="177">
        <v>111390000</v>
      </c>
    </row>
    <row r="5" spans="2:8" s="105" customFormat="1" ht="28.5" customHeight="1" x14ac:dyDescent="0.2">
      <c r="B5" s="136">
        <v>32837</v>
      </c>
      <c r="C5" s="133">
        <f t="shared" ref="C5:C194" ca="1" si="2">TODAY()</f>
        <v>43005</v>
      </c>
      <c r="D5" s="134">
        <f t="shared" ref="D5:D36" ca="1" si="3">INT((C5-B5)/365)</f>
        <v>27</v>
      </c>
      <c r="E5" s="138" t="s">
        <v>495</v>
      </c>
      <c r="F5" s="135" t="s">
        <v>50</v>
      </c>
      <c r="G5" s="177">
        <v>30014304</v>
      </c>
    </row>
    <row r="6" spans="2:8" s="105" customFormat="1" ht="28.5" customHeight="1" x14ac:dyDescent="0.2">
      <c r="B6" s="146">
        <v>32497</v>
      </c>
      <c r="C6" s="133">
        <f t="shared" ca="1" si="0"/>
        <v>43005</v>
      </c>
      <c r="D6" s="134">
        <f t="shared" ca="1" si="3"/>
        <v>28</v>
      </c>
      <c r="E6" s="135" t="s">
        <v>495</v>
      </c>
      <c r="F6" s="135" t="s">
        <v>93</v>
      </c>
      <c r="G6" s="177">
        <v>66226167</v>
      </c>
    </row>
    <row r="7" spans="2:8" s="105" customFormat="1" ht="28.5" customHeight="1" x14ac:dyDescent="0.2">
      <c r="B7" s="146">
        <v>32437</v>
      </c>
      <c r="C7" s="133">
        <f t="shared" ca="1" si="0"/>
        <v>43005</v>
      </c>
      <c r="D7" s="134">
        <f t="shared" ca="1" si="3"/>
        <v>28</v>
      </c>
      <c r="E7" s="135" t="s">
        <v>495</v>
      </c>
      <c r="F7" s="135" t="s">
        <v>50</v>
      </c>
      <c r="G7" s="177">
        <v>94683300</v>
      </c>
    </row>
    <row r="8" spans="2:8" s="105" customFormat="1" ht="28.5" customHeight="1" x14ac:dyDescent="0.2">
      <c r="B8" s="146">
        <v>32123</v>
      </c>
      <c r="C8" s="133">
        <f t="shared" ca="1" si="0"/>
        <v>43005</v>
      </c>
      <c r="D8" s="134">
        <f t="shared" ca="1" si="3"/>
        <v>29</v>
      </c>
      <c r="E8" s="135" t="s">
        <v>495</v>
      </c>
      <c r="F8" s="135" t="s">
        <v>93</v>
      </c>
      <c r="G8" s="177">
        <v>55745116</v>
      </c>
    </row>
    <row r="9" spans="2:8" s="105" customFormat="1" ht="28.5" customHeight="1" x14ac:dyDescent="0.2">
      <c r="B9" s="146">
        <v>32290</v>
      </c>
      <c r="C9" s="133">
        <f t="shared" ca="1" si="0"/>
        <v>43005</v>
      </c>
      <c r="D9" s="134">
        <f t="shared" ca="1" si="3"/>
        <v>29</v>
      </c>
      <c r="E9" s="135" t="s">
        <v>495</v>
      </c>
      <c r="F9" s="135" t="s">
        <v>50</v>
      </c>
      <c r="G9" s="177">
        <v>93270350</v>
      </c>
    </row>
    <row r="10" spans="2:8" s="105" customFormat="1" ht="28.5" customHeight="1" x14ac:dyDescent="0.2">
      <c r="B10" s="146">
        <v>32107</v>
      </c>
      <c r="C10" s="133">
        <f t="shared" ca="1" si="0"/>
        <v>43005</v>
      </c>
      <c r="D10" s="134">
        <f t="shared" ca="1" si="3"/>
        <v>29</v>
      </c>
      <c r="E10" s="135" t="s">
        <v>495</v>
      </c>
      <c r="F10" s="135" t="s">
        <v>50</v>
      </c>
      <c r="G10" s="177">
        <v>76500000</v>
      </c>
    </row>
    <row r="11" spans="2:8" s="105" customFormat="1" ht="28.5" customHeight="1" x14ac:dyDescent="0.2">
      <c r="B11" s="146">
        <v>31794</v>
      </c>
      <c r="C11" s="133">
        <f t="shared" ca="1" si="0"/>
        <v>43005</v>
      </c>
      <c r="D11" s="134">
        <f t="shared" ca="1" si="3"/>
        <v>30</v>
      </c>
      <c r="E11" s="135" t="s">
        <v>494</v>
      </c>
      <c r="F11" s="135" t="s">
        <v>50</v>
      </c>
      <c r="G11" s="177">
        <v>60679745</v>
      </c>
    </row>
    <row r="12" spans="2:8" s="105" customFormat="1" ht="28.5" customHeight="1" x14ac:dyDescent="0.2">
      <c r="B12" s="146">
        <v>31728</v>
      </c>
      <c r="C12" s="133">
        <f t="shared" ca="1" si="0"/>
        <v>43005</v>
      </c>
      <c r="D12" s="134">
        <f t="shared" ca="1" si="3"/>
        <v>30</v>
      </c>
      <c r="E12" s="135" t="s">
        <v>495</v>
      </c>
      <c r="F12" s="135" t="s">
        <v>50</v>
      </c>
      <c r="G12" s="177">
        <v>67714362</v>
      </c>
    </row>
    <row r="13" spans="2:8" s="105" customFormat="1" ht="28.5" customHeight="1" x14ac:dyDescent="0.2">
      <c r="B13" s="146">
        <v>31910</v>
      </c>
      <c r="C13" s="133">
        <f t="shared" ca="1" si="0"/>
        <v>43005</v>
      </c>
      <c r="D13" s="134">
        <f t="shared" ca="1" si="3"/>
        <v>30</v>
      </c>
      <c r="E13" s="135" t="s">
        <v>494</v>
      </c>
      <c r="F13" s="135" t="s">
        <v>50</v>
      </c>
      <c r="G13" s="177">
        <v>112314700</v>
      </c>
    </row>
    <row r="14" spans="2:8" s="99" customFormat="1" ht="28.5" customHeight="1" x14ac:dyDescent="0.2">
      <c r="B14" s="108">
        <v>32001</v>
      </c>
      <c r="C14" s="133">
        <f t="shared" ca="1" si="2"/>
        <v>43005</v>
      </c>
      <c r="D14" s="134">
        <f t="shared" ca="1" si="3"/>
        <v>30</v>
      </c>
      <c r="E14" s="145" t="s">
        <v>495</v>
      </c>
      <c r="F14" s="135" t="s">
        <v>50</v>
      </c>
      <c r="G14" s="177">
        <v>81144380</v>
      </c>
    </row>
    <row r="15" spans="2:8" s="105" customFormat="1" ht="28.5" customHeight="1" x14ac:dyDescent="0.2">
      <c r="B15" s="146">
        <v>31705</v>
      </c>
      <c r="C15" s="133">
        <f t="shared" ca="1" si="0"/>
        <v>43005</v>
      </c>
      <c r="D15" s="134">
        <f t="shared" ca="1" si="3"/>
        <v>30</v>
      </c>
      <c r="E15" s="135" t="s">
        <v>495</v>
      </c>
      <c r="F15" s="135" t="s">
        <v>50</v>
      </c>
      <c r="G15" s="177">
        <v>104756632</v>
      </c>
    </row>
    <row r="16" spans="2:8" s="105" customFormat="1" ht="28.5" customHeight="1" x14ac:dyDescent="0.2">
      <c r="B16" s="146">
        <v>31357</v>
      </c>
      <c r="C16" s="133">
        <f t="shared" ref="C16:C135" ca="1" si="4">TODAY()</f>
        <v>43005</v>
      </c>
      <c r="D16" s="134">
        <f t="shared" ca="1" si="3"/>
        <v>31</v>
      </c>
      <c r="E16" s="135" t="s">
        <v>494</v>
      </c>
      <c r="F16" s="135" t="s">
        <v>50</v>
      </c>
      <c r="G16" s="177">
        <v>268000000</v>
      </c>
    </row>
    <row r="17" spans="2:7" s="105" customFormat="1" ht="28.5" customHeight="1" x14ac:dyDescent="0.2">
      <c r="B17" s="146">
        <v>31434</v>
      </c>
      <c r="C17" s="133">
        <f t="shared" ca="1" si="0"/>
        <v>43005</v>
      </c>
      <c r="D17" s="134">
        <f t="shared" ca="1" si="3"/>
        <v>31</v>
      </c>
      <c r="E17" s="135" t="s">
        <v>495</v>
      </c>
      <c r="F17" s="135" t="s">
        <v>50</v>
      </c>
      <c r="G17" s="177">
        <v>75225561</v>
      </c>
    </row>
    <row r="18" spans="2:7" s="105" customFormat="1" ht="28.5" customHeight="1" x14ac:dyDescent="0.2">
      <c r="B18" s="146">
        <v>31448</v>
      </c>
      <c r="C18" s="133">
        <f t="shared" ca="1" si="0"/>
        <v>43005</v>
      </c>
      <c r="D18" s="134">
        <f t="shared" ca="1" si="3"/>
        <v>31</v>
      </c>
      <c r="E18" s="135" t="s">
        <v>494</v>
      </c>
      <c r="F18" s="143" t="s">
        <v>94</v>
      </c>
      <c r="G18" s="177">
        <v>81953512</v>
      </c>
    </row>
    <row r="19" spans="2:7" s="105" customFormat="1" ht="28.5" customHeight="1" x14ac:dyDescent="0.2">
      <c r="B19" s="146">
        <v>30958</v>
      </c>
      <c r="C19" s="133">
        <f t="shared" ca="1" si="0"/>
        <v>43005</v>
      </c>
      <c r="D19" s="134">
        <f t="shared" ca="1" si="3"/>
        <v>33</v>
      </c>
      <c r="E19" s="135" t="s">
        <v>495</v>
      </c>
      <c r="F19" s="135" t="s">
        <v>50</v>
      </c>
      <c r="G19" s="177">
        <v>67426214</v>
      </c>
    </row>
    <row r="20" spans="2:7" s="105" customFormat="1" ht="28.5" customHeight="1" x14ac:dyDescent="0.2">
      <c r="B20" s="146">
        <v>31107</v>
      </c>
      <c r="C20" s="133">
        <f t="shared" ca="1" si="4"/>
        <v>43005</v>
      </c>
      <c r="D20" s="134">
        <f t="shared" ca="1" si="3"/>
        <v>32</v>
      </c>
      <c r="E20" s="135" t="s">
        <v>495</v>
      </c>
      <c r="F20" s="135" t="s">
        <v>50</v>
      </c>
      <c r="G20" s="177">
        <v>279430000</v>
      </c>
    </row>
    <row r="21" spans="2:7" s="105" customFormat="1" ht="28.5" customHeight="1" x14ac:dyDescent="0.2">
      <c r="B21" s="133">
        <v>31224</v>
      </c>
      <c r="C21" s="133">
        <f t="shared" ca="1" si="2"/>
        <v>43005</v>
      </c>
      <c r="D21" s="134">
        <f t="shared" ca="1" si="3"/>
        <v>32</v>
      </c>
      <c r="E21" s="135" t="s">
        <v>494</v>
      </c>
      <c r="F21" s="135" t="s">
        <v>50</v>
      </c>
      <c r="G21" s="177">
        <v>71024995</v>
      </c>
    </row>
    <row r="22" spans="2:7" s="99" customFormat="1" ht="28.5" customHeight="1" x14ac:dyDescent="0.2">
      <c r="B22" s="133">
        <v>31237</v>
      </c>
      <c r="C22" s="133">
        <f t="shared" ref="C22:C202" ca="1" si="5">TODAY()</f>
        <v>43005</v>
      </c>
      <c r="D22" s="134">
        <f t="shared" ca="1" si="3"/>
        <v>32</v>
      </c>
      <c r="E22" s="135" t="s">
        <v>495</v>
      </c>
      <c r="F22" s="135" t="s">
        <v>50</v>
      </c>
      <c r="G22" s="177">
        <v>37761106</v>
      </c>
    </row>
    <row r="23" spans="2:7" s="105" customFormat="1" ht="28.5" customHeight="1" x14ac:dyDescent="0.2">
      <c r="B23" s="108">
        <v>31220</v>
      </c>
      <c r="C23" s="133">
        <f t="shared" ca="1" si="2"/>
        <v>43005</v>
      </c>
      <c r="D23" s="134">
        <f t="shared" ca="1" si="3"/>
        <v>32</v>
      </c>
      <c r="E23" s="145" t="s">
        <v>495</v>
      </c>
      <c r="F23" s="135" t="s">
        <v>50</v>
      </c>
      <c r="G23" s="177">
        <v>206041089</v>
      </c>
    </row>
    <row r="24" spans="2:7" s="99" customFormat="1" ht="28.5" customHeight="1" x14ac:dyDescent="0.2">
      <c r="B24" s="133">
        <v>31168</v>
      </c>
      <c r="C24" s="133">
        <f t="shared" ca="1" si="5"/>
        <v>43005</v>
      </c>
      <c r="D24" s="134">
        <f t="shared" ca="1" si="3"/>
        <v>32</v>
      </c>
      <c r="E24" s="135" t="s">
        <v>495</v>
      </c>
      <c r="F24" s="135" t="s">
        <v>96</v>
      </c>
      <c r="G24" s="177">
        <v>25739529</v>
      </c>
    </row>
    <row r="25" spans="2:7" s="105" customFormat="1" ht="28.5" customHeight="1" x14ac:dyDescent="0.2">
      <c r="B25" s="108">
        <v>31195</v>
      </c>
      <c r="C25" s="133">
        <f t="shared" ca="1" si="0"/>
        <v>43005</v>
      </c>
      <c r="D25" s="134">
        <f t="shared" ca="1" si="3"/>
        <v>32</v>
      </c>
      <c r="E25" s="145" t="s">
        <v>494</v>
      </c>
      <c r="F25" s="135" t="s">
        <v>94</v>
      </c>
      <c r="G25" s="177">
        <v>86444773</v>
      </c>
    </row>
    <row r="26" spans="2:7" s="105" customFormat="1" ht="28.5" customHeight="1" x14ac:dyDescent="0.2">
      <c r="B26" s="108">
        <v>31238</v>
      </c>
      <c r="C26" s="133">
        <f t="shared" ca="1" si="0"/>
        <v>43005</v>
      </c>
      <c r="D26" s="134">
        <f t="shared" ca="1" si="3"/>
        <v>32</v>
      </c>
      <c r="E26" s="145" t="s">
        <v>495</v>
      </c>
      <c r="F26" s="135" t="s">
        <v>50</v>
      </c>
      <c r="G26" s="177">
        <v>83549567</v>
      </c>
    </row>
    <row r="27" spans="2:7" s="105" customFormat="1" ht="28.5" customHeight="1" x14ac:dyDescent="0.2">
      <c r="B27" s="146">
        <v>31263</v>
      </c>
      <c r="C27" s="133">
        <f t="shared" ca="1" si="0"/>
        <v>43005</v>
      </c>
      <c r="D27" s="134">
        <f t="shared" ca="1" si="3"/>
        <v>32</v>
      </c>
      <c r="E27" s="135" t="s">
        <v>495</v>
      </c>
      <c r="F27" s="135" t="s">
        <v>50</v>
      </c>
      <c r="G27" s="177">
        <v>113239986</v>
      </c>
    </row>
    <row r="28" spans="2:7" s="105" customFormat="1" ht="28.5" customHeight="1" x14ac:dyDescent="0.2">
      <c r="B28" s="133">
        <v>30771</v>
      </c>
      <c r="C28" s="133">
        <f t="shared" ca="1" si="2"/>
        <v>43005</v>
      </c>
      <c r="D28" s="134">
        <f t="shared" ca="1" si="3"/>
        <v>33</v>
      </c>
      <c r="E28" s="135" t="s">
        <v>494</v>
      </c>
      <c r="F28" s="135" t="s">
        <v>50</v>
      </c>
      <c r="G28" s="177">
        <v>24546180</v>
      </c>
    </row>
    <row r="29" spans="2:7" s="105" customFormat="1" ht="28.5" customHeight="1" x14ac:dyDescent="0.2">
      <c r="B29" s="146">
        <v>30743</v>
      </c>
      <c r="C29" s="133">
        <f t="shared" ca="1" si="4"/>
        <v>43005</v>
      </c>
      <c r="D29" s="134">
        <f t="shared" ca="1" si="3"/>
        <v>33</v>
      </c>
      <c r="E29" s="135" t="s">
        <v>494</v>
      </c>
      <c r="F29" s="135" t="s">
        <v>50</v>
      </c>
      <c r="G29" s="177">
        <v>125070000</v>
      </c>
    </row>
    <row r="30" spans="2:7" s="105" customFormat="1" ht="28.5" customHeight="1" x14ac:dyDescent="0.2">
      <c r="B30" s="146">
        <v>30803</v>
      </c>
      <c r="C30" s="133">
        <f t="shared" ca="1" si="0"/>
        <v>43005</v>
      </c>
      <c r="D30" s="134">
        <f t="shared" ca="1" si="3"/>
        <v>33</v>
      </c>
      <c r="E30" s="135" t="s">
        <v>494</v>
      </c>
      <c r="F30" s="135" t="s">
        <v>50</v>
      </c>
      <c r="G30" s="177">
        <v>75225561</v>
      </c>
    </row>
    <row r="31" spans="2:7" s="105" customFormat="1" ht="28.5" customHeight="1" x14ac:dyDescent="0.2">
      <c r="B31" s="146">
        <v>30809</v>
      </c>
      <c r="C31" s="133">
        <f t="shared" ca="1" si="0"/>
        <v>43005</v>
      </c>
      <c r="D31" s="134">
        <f t="shared" ca="1" si="3"/>
        <v>33</v>
      </c>
      <c r="E31" s="135" t="s">
        <v>495</v>
      </c>
      <c r="F31" s="135" t="s">
        <v>50</v>
      </c>
      <c r="G31" s="177">
        <v>125000000</v>
      </c>
    </row>
    <row r="32" spans="2:7" s="105" customFormat="1" ht="28.5" customHeight="1" x14ac:dyDescent="0.2">
      <c r="B32" s="146">
        <v>30820</v>
      </c>
      <c r="C32" s="133">
        <f t="shared" ca="1" si="0"/>
        <v>43005</v>
      </c>
      <c r="D32" s="134">
        <f t="shared" ca="1" si="3"/>
        <v>33</v>
      </c>
      <c r="E32" s="135" t="s">
        <v>494</v>
      </c>
      <c r="F32" s="135" t="s">
        <v>50</v>
      </c>
      <c r="G32" s="177">
        <v>67426214</v>
      </c>
    </row>
    <row r="33" spans="2:7" s="105" customFormat="1" ht="28.5" customHeight="1" x14ac:dyDescent="0.2">
      <c r="B33" s="146">
        <v>30740</v>
      </c>
      <c r="C33" s="133">
        <f t="shared" ca="1" si="0"/>
        <v>43005</v>
      </c>
      <c r="D33" s="134">
        <f t="shared" ca="1" si="3"/>
        <v>33</v>
      </c>
      <c r="E33" s="135" t="s">
        <v>495</v>
      </c>
      <c r="F33" s="135" t="s">
        <v>50</v>
      </c>
      <c r="G33" s="177">
        <v>145499540</v>
      </c>
    </row>
    <row r="34" spans="2:7" s="99" customFormat="1" ht="28.5" customHeight="1" x14ac:dyDescent="0.2">
      <c r="B34" s="136">
        <v>30418</v>
      </c>
      <c r="C34" s="133">
        <f t="shared" ca="1" si="2"/>
        <v>43005</v>
      </c>
      <c r="D34" s="134">
        <f t="shared" ca="1" si="3"/>
        <v>34</v>
      </c>
      <c r="E34" s="138" t="s">
        <v>495</v>
      </c>
      <c r="F34" s="135" t="s">
        <v>50</v>
      </c>
      <c r="G34" s="177">
        <v>60802615</v>
      </c>
    </row>
    <row r="35" spans="2:7" s="99" customFormat="1" ht="28.5" customHeight="1" x14ac:dyDescent="0.2">
      <c r="B35" s="133">
        <v>30411</v>
      </c>
      <c r="C35" s="133">
        <f t="shared" ca="1" si="2"/>
        <v>43005</v>
      </c>
      <c r="D35" s="134">
        <f t="shared" ca="1" si="3"/>
        <v>34</v>
      </c>
      <c r="E35" s="135" t="s">
        <v>495</v>
      </c>
      <c r="F35" s="135" t="s">
        <v>50</v>
      </c>
      <c r="G35" s="177">
        <v>40856148</v>
      </c>
    </row>
    <row r="36" spans="2:7" s="99" customFormat="1" ht="28.5" customHeight="1" x14ac:dyDescent="0.2">
      <c r="B36" s="136">
        <v>30438</v>
      </c>
      <c r="C36" s="133">
        <f t="shared" ca="1" si="2"/>
        <v>43005</v>
      </c>
      <c r="D36" s="134">
        <f t="shared" ca="1" si="3"/>
        <v>34</v>
      </c>
      <c r="E36" s="138" t="s">
        <v>495</v>
      </c>
      <c r="F36" s="135" t="s">
        <v>50</v>
      </c>
      <c r="G36" s="177">
        <v>89551749</v>
      </c>
    </row>
    <row r="37" spans="2:7" s="105" customFormat="1" ht="28.5" customHeight="1" x14ac:dyDescent="0.2">
      <c r="B37" s="146">
        <v>30026</v>
      </c>
      <c r="C37" s="133">
        <f t="shared" ca="1" si="0"/>
        <v>43005</v>
      </c>
      <c r="D37" s="134">
        <f t="shared" ref="D37:D68" ca="1" si="6">INT((C37-B37)/365)</f>
        <v>35</v>
      </c>
      <c r="E37" s="135" t="s">
        <v>495</v>
      </c>
      <c r="F37" s="135" t="s">
        <v>50</v>
      </c>
      <c r="G37" s="177">
        <v>217742925</v>
      </c>
    </row>
    <row r="38" spans="2:7" s="105" customFormat="1" ht="28.5" customHeight="1" x14ac:dyDescent="0.2">
      <c r="B38" s="136">
        <v>30029</v>
      </c>
      <c r="C38" s="133">
        <f t="shared" ca="1" si="2"/>
        <v>43005</v>
      </c>
      <c r="D38" s="134">
        <f t="shared" ca="1" si="6"/>
        <v>35</v>
      </c>
      <c r="E38" s="138" t="s">
        <v>495</v>
      </c>
      <c r="F38" s="135" t="s">
        <v>50</v>
      </c>
      <c r="G38" s="177">
        <v>95394366</v>
      </c>
    </row>
    <row r="39" spans="2:7" s="99" customFormat="1" ht="28.5" customHeight="1" x14ac:dyDescent="0.2">
      <c r="B39" s="108">
        <v>29990</v>
      </c>
      <c r="C39" s="133">
        <f t="shared" ca="1" si="2"/>
        <v>43005</v>
      </c>
      <c r="D39" s="134">
        <f t="shared" ca="1" si="6"/>
        <v>35</v>
      </c>
      <c r="E39" s="145" t="s">
        <v>495</v>
      </c>
      <c r="F39" s="135" t="s">
        <v>50</v>
      </c>
      <c r="G39" s="177">
        <v>123051063</v>
      </c>
    </row>
    <row r="40" spans="2:7" s="105" customFormat="1" ht="28.5" customHeight="1" x14ac:dyDescent="0.2">
      <c r="B40" s="146">
        <v>29908</v>
      </c>
      <c r="C40" s="133">
        <f t="shared" ca="1" si="0"/>
        <v>43005</v>
      </c>
      <c r="D40" s="134">
        <f t="shared" ca="1" si="6"/>
        <v>35</v>
      </c>
      <c r="E40" s="135" t="s">
        <v>495</v>
      </c>
      <c r="F40" s="135" t="s">
        <v>50</v>
      </c>
      <c r="G40" s="177">
        <v>225349180</v>
      </c>
    </row>
    <row r="41" spans="2:7" s="105" customFormat="1" ht="28.5" customHeight="1" x14ac:dyDescent="0.2">
      <c r="B41" s="146">
        <v>30186</v>
      </c>
      <c r="C41" s="133">
        <f t="shared" ca="1" si="0"/>
        <v>43005</v>
      </c>
      <c r="D41" s="134">
        <f t="shared" ca="1" si="6"/>
        <v>35</v>
      </c>
      <c r="E41" s="135" t="s">
        <v>494</v>
      </c>
      <c r="F41" s="135" t="s">
        <v>50</v>
      </c>
      <c r="G41" s="177">
        <v>125000000</v>
      </c>
    </row>
    <row r="42" spans="2:7" s="105" customFormat="1" ht="28.5" customHeight="1" x14ac:dyDescent="0.2">
      <c r="B42" s="146">
        <v>30061</v>
      </c>
      <c r="C42" s="133">
        <f t="shared" ca="1" si="4"/>
        <v>43005</v>
      </c>
      <c r="D42" s="134">
        <f t="shared" ca="1" si="6"/>
        <v>35</v>
      </c>
      <c r="E42" s="135" t="s">
        <v>495</v>
      </c>
      <c r="F42" s="135" t="s">
        <v>50</v>
      </c>
      <c r="G42" s="177">
        <v>268000000</v>
      </c>
    </row>
    <row r="43" spans="2:7" s="105" customFormat="1" ht="28.5" customHeight="1" x14ac:dyDescent="0.2">
      <c r="B43" s="146">
        <v>29580</v>
      </c>
      <c r="C43" s="133">
        <f t="shared" ca="1" si="0"/>
        <v>43005</v>
      </c>
      <c r="D43" s="134">
        <f t="shared" ca="1" si="6"/>
        <v>36</v>
      </c>
      <c r="E43" s="135" t="s">
        <v>494</v>
      </c>
      <c r="F43" s="135" t="s">
        <v>50</v>
      </c>
      <c r="G43" s="177">
        <v>261796590</v>
      </c>
    </row>
    <row r="44" spans="2:7" s="105" customFormat="1" ht="28.5" customHeight="1" x14ac:dyDescent="0.2">
      <c r="B44" s="146">
        <v>29768</v>
      </c>
      <c r="C44" s="133">
        <f t="shared" ca="1" si="0"/>
        <v>43005</v>
      </c>
      <c r="D44" s="134">
        <f t="shared" ca="1" si="6"/>
        <v>36</v>
      </c>
      <c r="E44" s="135" t="s">
        <v>495</v>
      </c>
      <c r="F44" s="135" t="s">
        <v>50</v>
      </c>
      <c r="G44" s="177">
        <v>169191869</v>
      </c>
    </row>
    <row r="45" spans="2:7" s="99" customFormat="1" ht="28.5" customHeight="1" x14ac:dyDescent="0.2">
      <c r="B45" s="107">
        <v>29777</v>
      </c>
      <c r="C45" s="133">
        <f t="shared" ca="1" si="2"/>
        <v>43005</v>
      </c>
      <c r="D45" s="134">
        <f t="shared" ca="1" si="6"/>
        <v>36</v>
      </c>
      <c r="E45" s="145" t="s">
        <v>494</v>
      </c>
      <c r="F45" s="135" t="s">
        <v>50</v>
      </c>
      <c r="G45" s="177">
        <v>124623119</v>
      </c>
    </row>
    <row r="46" spans="2:7" s="99" customFormat="1" ht="28.5" customHeight="1" x14ac:dyDescent="0.2">
      <c r="B46" s="136">
        <v>29721</v>
      </c>
      <c r="C46" s="133">
        <f t="shared" ca="1" si="5"/>
        <v>43005</v>
      </c>
      <c r="D46" s="134">
        <f t="shared" ca="1" si="6"/>
        <v>36</v>
      </c>
      <c r="E46" s="138" t="s">
        <v>495</v>
      </c>
      <c r="F46" s="135" t="s">
        <v>50</v>
      </c>
      <c r="G46" s="177">
        <v>189132384</v>
      </c>
    </row>
    <row r="47" spans="2:7" s="105" customFormat="1" ht="28.5" customHeight="1" x14ac:dyDescent="0.2">
      <c r="B47" s="146">
        <v>29729</v>
      </c>
      <c r="C47" s="133">
        <f t="shared" ca="1" si="0"/>
        <v>43005</v>
      </c>
      <c r="D47" s="134">
        <f t="shared" ca="1" si="6"/>
        <v>36</v>
      </c>
      <c r="E47" s="135" t="s">
        <v>494</v>
      </c>
      <c r="F47" s="135" t="s">
        <v>50</v>
      </c>
      <c r="G47" s="177">
        <v>177566907</v>
      </c>
    </row>
    <row r="48" spans="2:7" s="99" customFormat="1" ht="28.5" customHeight="1" x14ac:dyDescent="0.2">
      <c r="B48" s="133">
        <v>29623</v>
      </c>
      <c r="C48" s="133">
        <f t="shared" ca="1" si="5"/>
        <v>43005</v>
      </c>
      <c r="D48" s="134">
        <f t="shared" ca="1" si="6"/>
        <v>36</v>
      </c>
      <c r="E48" s="135" t="s">
        <v>495</v>
      </c>
      <c r="F48" s="135" t="s">
        <v>50</v>
      </c>
      <c r="G48" s="177">
        <v>161602277</v>
      </c>
    </row>
    <row r="49" spans="2:7" s="99" customFormat="1" ht="28.5" customHeight="1" x14ac:dyDescent="0.2">
      <c r="B49" s="133">
        <v>29567</v>
      </c>
      <c r="C49" s="133">
        <f t="shared" ca="1" si="2"/>
        <v>43005</v>
      </c>
      <c r="D49" s="134">
        <f t="shared" ca="1" si="6"/>
        <v>36</v>
      </c>
      <c r="E49" s="135" t="s">
        <v>494</v>
      </c>
      <c r="F49" s="135" t="s">
        <v>50</v>
      </c>
      <c r="G49" s="177">
        <v>14365150</v>
      </c>
    </row>
    <row r="50" spans="2:7" s="105" customFormat="1" ht="28.5" customHeight="1" x14ac:dyDescent="0.2">
      <c r="B50" s="146">
        <v>29809</v>
      </c>
      <c r="C50" s="133">
        <f t="shared" ca="1" si="0"/>
        <v>43005</v>
      </c>
      <c r="D50" s="134">
        <f t="shared" ca="1" si="6"/>
        <v>36</v>
      </c>
      <c r="E50" s="135" t="s">
        <v>494</v>
      </c>
      <c r="F50" s="143" t="s">
        <v>95</v>
      </c>
      <c r="G50" s="177">
        <v>74194779</v>
      </c>
    </row>
    <row r="51" spans="2:7" s="99" customFormat="1" ht="28.5" customHeight="1" x14ac:dyDescent="0.2">
      <c r="B51" s="136">
        <v>29709</v>
      </c>
      <c r="C51" s="133">
        <f t="shared" ca="1" si="2"/>
        <v>43005</v>
      </c>
      <c r="D51" s="134">
        <f t="shared" ca="1" si="6"/>
        <v>36</v>
      </c>
      <c r="E51" s="138" t="s">
        <v>494</v>
      </c>
      <c r="F51" s="135" t="s">
        <v>50</v>
      </c>
      <c r="G51" s="177">
        <v>201307592</v>
      </c>
    </row>
    <row r="52" spans="2:7" s="105" customFormat="1" ht="28.5" customHeight="1" x14ac:dyDescent="0.2">
      <c r="B52" s="108">
        <v>29568</v>
      </c>
      <c r="C52" s="133">
        <f t="shared" ca="1" si="2"/>
        <v>43005</v>
      </c>
      <c r="D52" s="134">
        <f t="shared" ca="1" si="6"/>
        <v>36</v>
      </c>
      <c r="E52" s="135" t="s">
        <v>494</v>
      </c>
      <c r="F52" s="135" t="s">
        <v>50</v>
      </c>
      <c r="G52" s="177">
        <v>205520910</v>
      </c>
    </row>
    <row r="53" spans="2:7" s="105" customFormat="1" ht="28.5" customHeight="1" x14ac:dyDescent="0.2">
      <c r="B53" s="146">
        <v>29810</v>
      </c>
      <c r="C53" s="133">
        <f t="shared" ca="1" si="0"/>
        <v>43005</v>
      </c>
      <c r="D53" s="134">
        <f t="shared" ca="1" si="6"/>
        <v>36</v>
      </c>
      <c r="E53" s="135" t="s">
        <v>495</v>
      </c>
      <c r="F53" s="135" t="s">
        <v>50</v>
      </c>
      <c r="G53" s="177">
        <v>101105702</v>
      </c>
    </row>
    <row r="54" spans="2:7" s="105" customFormat="1" ht="28.5" customHeight="1" x14ac:dyDescent="0.2">
      <c r="B54" s="146">
        <v>29678</v>
      </c>
      <c r="C54" s="133">
        <f t="shared" ca="1" si="0"/>
        <v>43005</v>
      </c>
      <c r="D54" s="134">
        <f t="shared" ca="1" si="6"/>
        <v>36</v>
      </c>
      <c r="E54" s="135" t="s">
        <v>494</v>
      </c>
      <c r="F54" s="135" t="s">
        <v>50</v>
      </c>
      <c r="G54" s="177">
        <v>137886101</v>
      </c>
    </row>
    <row r="55" spans="2:7" s="105" customFormat="1" ht="28.5" customHeight="1" x14ac:dyDescent="0.2">
      <c r="B55" s="146">
        <v>29690</v>
      </c>
      <c r="C55" s="133">
        <f t="shared" ca="1" si="0"/>
        <v>43005</v>
      </c>
      <c r="D55" s="134">
        <f t="shared" ca="1" si="6"/>
        <v>36</v>
      </c>
      <c r="E55" s="135" t="s">
        <v>495</v>
      </c>
      <c r="F55" s="135" t="s">
        <v>50</v>
      </c>
      <c r="G55" s="177">
        <v>137886101</v>
      </c>
    </row>
    <row r="56" spans="2:7" s="99" customFormat="1" ht="28.5" customHeight="1" x14ac:dyDescent="0.2">
      <c r="B56" s="136">
        <v>29170</v>
      </c>
      <c r="C56" s="133">
        <f t="shared" ca="1" si="5"/>
        <v>43005</v>
      </c>
      <c r="D56" s="134">
        <f t="shared" ca="1" si="6"/>
        <v>37</v>
      </c>
      <c r="E56" s="138" t="s">
        <v>495</v>
      </c>
      <c r="F56" s="135" t="s">
        <v>50</v>
      </c>
      <c r="G56" s="177">
        <v>160600602</v>
      </c>
    </row>
    <row r="57" spans="2:7" s="99" customFormat="1" ht="28.5" customHeight="1" x14ac:dyDescent="0.2">
      <c r="B57" s="133">
        <v>29282</v>
      </c>
      <c r="C57" s="133">
        <f t="shared" ca="1" si="5"/>
        <v>43005</v>
      </c>
      <c r="D57" s="134">
        <f t="shared" ca="1" si="6"/>
        <v>37</v>
      </c>
      <c r="E57" s="135" t="s">
        <v>495</v>
      </c>
      <c r="F57" s="135" t="s">
        <v>50</v>
      </c>
      <c r="G57" s="177">
        <v>133586180</v>
      </c>
    </row>
    <row r="58" spans="2:7" s="99" customFormat="1" ht="28.5" customHeight="1" x14ac:dyDescent="0.2">
      <c r="B58" s="133">
        <v>29150</v>
      </c>
      <c r="C58" s="133">
        <f t="shared" ca="1" si="2"/>
        <v>43005</v>
      </c>
      <c r="D58" s="134">
        <f t="shared" ca="1" si="6"/>
        <v>37</v>
      </c>
      <c r="E58" s="135" t="s">
        <v>494</v>
      </c>
      <c r="F58" s="135" t="s">
        <v>50</v>
      </c>
      <c r="G58" s="177">
        <v>5239024</v>
      </c>
    </row>
    <row r="59" spans="2:7" s="99" customFormat="1" ht="28.5" customHeight="1" x14ac:dyDescent="0.2">
      <c r="B59" s="133">
        <v>29217</v>
      </c>
      <c r="C59" s="133">
        <f t="shared" ca="1" si="2"/>
        <v>43005</v>
      </c>
      <c r="D59" s="134">
        <f t="shared" ca="1" si="6"/>
        <v>37</v>
      </c>
      <c r="E59" s="135" t="s">
        <v>494</v>
      </c>
      <c r="F59" s="135" t="s">
        <v>50</v>
      </c>
      <c r="G59" s="177">
        <v>78314629</v>
      </c>
    </row>
    <row r="60" spans="2:7" s="105" customFormat="1" ht="28.5" customHeight="1" x14ac:dyDescent="0.2">
      <c r="B60" s="146">
        <v>29440</v>
      </c>
      <c r="C60" s="133">
        <f t="shared" ca="1" si="0"/>
        <v>43005</v>
      </c>
      <c r="D60" s="134">
        <f t="shared" ca="1" si="6"/>
        <v>37</v>
      </c>
      <c r="E60" s="135" t="s">
        <v>495</v>
      </c>
      <c r="F60" s="135" t="s">
        <v>50</v>
      </c>
      <c r="G60" s="177">
        <v>85827508</v>
      </c>
    </row>
    <row r="61" spans="2:7" s="99" customFormat="1" ht="28.5" customHeight="1" x14ac:dyDescent="0.2">
      <c r="B61" s="133">
        <v>28880</v>
      </c>
      <c r="C61" s="133">
        <f t="shared" ca="1" si="5"/>
        <v>43005</v>
      </c>
      <c r="D61" s="134">
        <f t="shared" ca="1" si="6"/>
        <v>38</v>
      </c>
      <c r="E61" s="135" t="s">
        <v>495</v>
      </c>
      <c r="F61" s="135" t="s">
        <v>50</v>
      </c>
      <c r="G61" s="177">
        <v>49493145</v>
      </c>
    </row>
    <row r="62" spans="2:7" s="105" customFormat="1" ht="28.5" customHeight="1" x14ac:dyDescent="0.2">
      <c r="B62" s="146">
        <v>29049</v>
      </c>
      <c r="C62" s="133">
        <f t="shared" ca="1" si="0"/>
        <v>43005</v>
      </c>
      <c r="D62" s="134">
        <f t="shared" ca="1" si="6"/>
        <v>38</v>
      </c>
      <c r="E62" s="135" t="s">
        <v>495</v>
      </c>
      <c r="F62" s="135" t="s">
        <v>50</v>
      </c>
      <c r="G62" s="177">
        <v>167389502</v>
      </c>
    </row>
    <row r="63" spans="2:7" s="105" customFormat="1" ht="28.5" customHeight="1" x14ac:dyDescent="0.2">
      <c r="B63" s="146">
        <v>29081</v>
      </c>
      <c r="C63" s="133">
        <f t="shared" ca="1" si="0"/>
        <v>43005</v>
      </c>
      <c r="D63" s="134">
        <f t="shared" ca="1" si="6"/>
        <v>38</v>
      </c>
      <c r="E63" s="135" t="s">
        <v>494</v>
      </c>
      <c r="F63" s="135" t="s">
        <v>50</v>
      </c>
      <c r="G63" s="177">
        <v>169191869</v>
      </c>
    </row>
    <row r="64" spans="2:7" s="99" customFormat="1" ht="28.5" customHeight="1" x14ac:dyDescent="0.2">
      <c r="B64" s="136">
        <v>29111</v>
      </c>
      <c r="C64" s="133">
        <f t="shared" ca="1" si="5"/>
        <v>43005</v>
      </c>
      <c r="D64" s="134">
        <f t="shared" ca="1" si="6"/>
        <v>38</v>
      </c>
      <c r="E64" s="138" t="s">
        <v>495</v>
      </c>
      <c r="F64" s="135" t="s">
        <v>50</v>
      </c>
      <c r="G64" s="177">
        <v>152008871</v>
      </c>
    </row>
    <row r="65" spans="2:7" s="99" customFormat="1" ht="28.5" customHeight="1" x14ac:dyDescent="0.2">
      <c r="B65" s="133">
        <v>28829</v>
      </c>
      <c r="C65" s="133">
        <f t="shared" ca="1" si="2"/>
        <v>43005</v>
      </c>
      <c r="D65" s="134">
        <f t="shared" ca="1" si="6"/>
        <v>38</v>
      </c>
      <c r="E65" s="135" t="s">
        <v>494</v>
      </c>
      <c r="F65" s="135" t="s">
        <v>50</v>
      </c>
      <c r="G65" s="177">
        <v>95205452</v>
      </c>
    </row>
    <row r="66" spans="2:7" s="99" customFormat="1" ht="28.5" customHeight="1" x14ac:dyDescent="0.2">
      <c r="B66" s="133">
        <v>29078</v>
      </c>
      <c r="C66" s="133">
        <f t="shared" ca="1" si="2"/>
        <v>43005</v>
      </c>
      <c r="D66" s="134">
        <f t="shared" ca="1" si="6"/>
        <v>38</v>
      </c>
      <c r="E66" s="135" t="s">
        <v>494</v>
      </c>
      <c r="F66" s="135" t="s">
        <v>50</v>
      </c>
      <c r="G66" s="177">
        <v>65692937</v>
      </c>
    </row>
    <row r="67" spans="2:7" s="105" customFormat="1" ht="28.5" customHeight="1" x14ac:dyDescent="0.2">
      <c r="B67" s="146">
        <v>29124</v>
      </c>
      <c r="C67" s="133">
        <f t="shared" ca="1" si="0"/>
        <v>43005</v>
      </c>
      <c r="D67" s="134">
        <f t="shared" ca="1" si="6"/>
        <v>38</v>
      </c>
      <c r="E67" s="135" t="s">
        <v>495</v>
      </c>
      <c r="F67" s="135" t="s">
        <v>50</v>
      </c>
      <c r="G67" s="177">
        <v>41118000</v>
      </c>
    </row>
    <row r="68" spans="2:7" s="99" customFormat="1" ht="28.5" customHeight="1" x14ac:dyDescent="0.2">
      <c r="B68" s="136">
        <v>29119</v>
      </c>
      <c r="C68" s="133">
        <f t="shared" ca="1" si="2"/>
        <v>43005</v>
      </c>
      <c r="D68" s="134">
        <f t="shared" ca="1" si="6"/>
        <v>38</v>
      </c>
      <c r="E68" s="138" t="s">
        <v>494</v>
      </c>
      <c r="F68" s="135" t="s">
        <v>50</v>
      </c>
      <c r="G68" s="177">
        <v>64780059</v>
      </c>
    </row>
    <row r="69" spans="2:7" s="99" customFormat="1" ht="28.5" customHeight="1" x14ac:dyDescent="0.2">
      <c r="B69" s="136">
        <v>28457</v>
      </c>
      <c r="C69" s="133">
        <f t="shared" ca="1" si="2"/>
        <v>43005</v>
      </c>
      <c r="D69" s="134">
        <f t="shared" ref="D69:D90" ca="1" si="7">INT((C69-B69)/365)</f>
        <v>39</v>
      </c>
      <c r="E69" s="138" t="s">
        <v>494</v>
      </c>
      <c r="F69" s="135" t="s">
        <v>50</v>
      </c>
      <c r="G69" s="177">
        <v>95394336</v>
      </c>
    </row>
    <row r="70" spans="2:7" s="105" customFormat="1" ht="28.5" customHeight="1" x14ac:dyDescent="0.2">
      <c r="B70" s="133">
        <v>28608</v>
      </c>
      <c r="C70" s="133">
        <f t="shared" ca="1" si="2"/>
        <v>43005</v>
      </c>
      <c r="D70" s="134">
        <f t="shared" ca="1" si="7"/>
        <v>39</v>
      </c>
      <c r="E70" s="135" t="s">
        <v>494</v>
      </c>
      <c r="F70" s="135" t="s">
        <v>50</v>
      </c>
      <c r="G70" s="177">
        <v>224844226</v>
      </c>
    </row>
    <row r="71" spans="2:7" s="99" customFormat="1" ht="28.5" customHeight="1" x14ac:dyDescent="0.2">
      <c r="B71" s="136">
        <v>28458</v>
      </c>
      <c r="C71" s="133">
        <f t="shared" ca="1" si="5"/>
        <v>43005</v>
      </c>
      <c r="D71" s="134">
        <f t="shared" ca="1" si="7"/>
        <v>39</v>
      </c>
      <c r="E71" s="138" t="s">
        <v>494</v>
      </c>
      <c r="F71" s="138" t="s">
        <v>96</v>
      </c>
      <c r="G71" s="177">
        <v>53295800</v>
      </c>
    </row>
    <row r="72" spans="2:7" s="99" customFormat="1" ht="28.5" customHeight="1" x14ac:dyDescent="0.2">
      <c r="B72" s="133">
        <v>28563</v>
      </c>
      <c r="C72" s="133">
        <f t="shared" ca="1" si="5"/>
        <v>43005</v>
      </c>
      <c r="D72" s="134">
        <f t="shared" ca="1" si="7"/>
        <v>39</v>
      </c>
      <c r="E72" s="135" t="s">
        <v>495</v>
      </c>
      <c r="F72" s="135" t="s">
        <v>93</v>
      </c>
      <c r="G72" s="177">
        <v>48505836</v>
      </c>
    </row>
    <row r="73" spans="2:7" s="99" customFormat="1" ht="28.5" customHeight="1" x14ac:dyDescent="0.2">
      <c r="B73" s="136">
        <v>28512</v>
      </c>
      <c r="C73" s="133">
        <f t="shared" ca="1" si="5"/>
        <v>43005</v>
      </c>
      <c r="D73" s="134">
        <f t="shared" ca="1" si="7"/>
        <v>39</v>
      </c>
      <c r="E73" s="138" t="s">
        <v>495</v>
      </c>
      <c r="F73" s="135" t="s">
        <v>50</v>
      </c>
      <c r="G73" s="177">
        <v>51596549</v>
      </c>
    </row>
    <row r="74" spans="2:7" s="105" customFormat="1" ht="28.5" customHeight="1" x14ac:dyDescent="0.2">
      <c r="B74" s="107">
        <v>28592</v>
      </c>
      <c r="C74" s="133">
        <f t="shared" ca="1" si="2"/>
        <v>43005</v>
      </c>
      <c r="D74" s="134">
        <f t="shared" ca="1" si="7"/>
        <v>39</v>
      </c>
      <c r="E74" s="135" t="s">
        <v>495</v>
      </c>
      <c r="F74" s="143" t="s">
        <v>95</v>
      </c>
      <c r="G74" s="177">
        <v>145303650</v>
      </c>
    </row>
    <row r="75" spans="2:7" s="105" customFormat="1" ht="28.5" customHeight="1" x14ac:dyDescent="0.2">
      <c r="B75" s="146">
        <v>28510</v>
      </c>
      <c r="C75" s="133">
        <f t="shared" ca="1" si="0"/>
        <v>43005</v>
      </c>
      <c r="D75" s="134">
        <f t="shared" ca="1" si="7"/>
        <v>39</v>
      </c>
      <c r="E75" s="145" t="s">
        <v>494</v>
      </c>
      <c r="F75" s="135" t="s">
        <v>50</v>
      </c>
      <c r="G75" s="177">
        <v>82788160</v>
      </c>
    </row>
    <row r="76" spans="2:7" s="105" customFormat="1" ht="28.5" customHeight="1" x14ac:dyDescent="0.2">
      <c r="B76" s="146">
        <v>28317</v>
      </c>
      <c r="C76" s="133">
        <f t="shared" ca="1" si="0"/>
        <v>43005</v>
      </c>
      <c r="D76" s="134">
        <f t="shared" ca="1" si="7"/>
        <v>40</v>
      </c>
      <c r="E76" s="135" t="s">
        <v>494</v>
      </c>
      <c r="F76" s="135" t="s">
        <v>50</v>
      </c>
      <c r="G76" s="177">
        <v>155059928</v>
      </c>
    </row>
    <row r="77" spans="2:7" s="105" customFormat="1" ht="28.5" customHeight="1" x14ac:dyDescent="0.2">
      <c r="B77" s="146">
        <v>28382</v>
      </c>
      <c r="C77" s="133">
        <f t="shared" ca="1" si="0"/>
        <v>43005</v>
      </c>
      <c r="D77" s="134">
        <f t="shared" ca="1" si="7"/>
        <v>40</v>
      </c>
      <c r="E77" s="135" t="s">
        <v>495</v>
      </c>
      <c r="F77" s="135" t="s">
        <v>50</v>
      </c>
      <c r="G77" s="177">
        <v>89574803</v>
      </c>
    </row>
    <row r="78" spans="2:7" s="105" customFormat="1" ht="28.5" customHeight="1" x14ac:dyDescent="0.2">
      <c r="B78" s="108">
        <v>28104</v>
      </c>
      <c r="C78" s="133">
        <f t="shared" ca="1" si="2"/>
        <v>43005</v>
      </c>
      <c r="D78" s="134">
        <f t="shared" ca="1" si="7"/>
        <v>40</v>
      </c>
      <c r="E78" s="145" t="s">
        <v>494</v>
      </c>
      <c r="F78" s="135" t="s">
        <v>50</v>
      </c>
      <c r="G78" s="177">
        <v>59232531</v>
      </c>
    </row>
    <row r="79" spans="2:7" s="99" customFormat="1" ht="28.5" customHeight="1" x14ac:dyDescent="0.2">
      <c r="B79" s="133">
        <v>28141</v>
      </c>
      <c r="C79" s="133">
        <f t="shared" ca="1" si="2"/>
        <v>43005</v>
      </c>
      <c r="D79" s="134">
        <f t="shared" ca="1" si="7"/>
        <v>40</v>
      </c>
      <c r="E79" s="135" t="s">
        <v>494</v>
      </c>
      <c r="F79" s="135" t="s">
        <v>50</v>
      </c>
      <c r="G79" s="177">
        <v>35265062</v>
      </c>
    </row>
    <row r="80" spans="2:7" s="105" customFormat="1" ht="28.5" customHeight="1" x14ac:dyDescent="0.2">
      <c r="B80" s="107">
        <v>28307</v>
      </c>
      <c r="C80" s="133">
        <f t="shared" ca="1" si="2"/>
        <v>43005</v>
      </c>
      <c r="D80" s="134">
        <f t="shared" ca="1" si="7"/>
        <v>40</v>
      </c>
      <c r="E80" s="135" t="s">
        <v>495</v>
      </c>
      <c r="F80" s="135" t="s">
        <v>50</v>
      </c>
      <c r="G80" s="177">
        <v>111697312</v>
      </c>
    </row>
    <row r="81" spans="2:7" s="105" customFormat="1" ht="28.5" customHeight="1" x14ac:dyDescent="0.2">
      <c r="B81" s="107">
        <v>28388</v>
      </c>
      <c r="C81" s="133">
        <f t="shared" ca="1" si="2"/>
        <v>43005</v>
      </c>
      <c r="D81" s="134">
        <f t="shared" ca="1" si="7"/>
        <v>40</v>
      </c>
      <c r="E81" s="135" t="s">
        <v>494</v>
      </c>
      <c r="F81" s="135" t="s">
        <v>50</v>
      </c>
      <c r="G81" s="177">
        <v>111697312</v>
      </c>
    </row>
    <row r="82" spans="2:7" s="105" customFormat="1" ht="28.5" customHeight="1" x14ac:dyDescent="0.2">
      <c r="B82" s="146">
        <v>28054</v>
      </c>
      <c r="C82" s="133">
        <f t="shared" ca="1" si="0"/>
        <v>43005</v>
      </c>
      <c r="D82" s="134">
        <f t="shared" ca="1" si="7"/>
        <v>40</v>
      </c>
      <c r="E82" s="135" t="s">
        <v>494</v>
      </c>
      <c r="F82" s="135" t="s">
        <v>50</v>
      </c>
      <c r="G82" s="177">
        <v>227635281</v>
      </c>
    </row>
    <row r="83" spans="2:7" s="105" customFormat="1" ht="28.5" customHeight="1" x14ac:dyDescent="0.2">
      <c r="B83" s="146">
        <v>28143</v>
      </c>
      <c r="C83" s="133">
        <f t="shared" ca="1" si="0"/>
        <v>43005</v>
      </c>
      <c r="D83" s="134">
        <f t="shared" ca="1" si="7"/>
        <v>40</v>
      </c>
      <c r="E83" s="135" t="s">
        <v>495</v>
      </c>
      <c r="F83" s="135" t="s">
        <v>50</v>
      </c>
      <c r="G83" s="177">
        <v>227635281</v>
      </c>
    </row>
    <row r="84" spans="2:7" s="99" customFormat="1" ht="28.5" customHeight="1" x14ac:dyDescent="0.2">
      <c r="B84" s="133">
        <v>27857</v>
      </c>
      <c r="C84" s="133">
        <f t="shared" ca="1" si="5"/>
        <v>43005</v>
      </c>
      <c r="D84" s="134">
        <f t="shared" ca="1" si="7"/>
        <v>41</v>
      </c>
      <c r="E84" s="135" t="s">
        <v>495</v>
      </c>
      <c r="F84" s="135" t="s">
        <v>50</v>
      </c>
      <c r="G84" s="177">
        <v>61835417</v>
      </c>
    </row>
    <row r="85" spans="2:7" s="105" customFormat="1" ht="28.5" customHeight="1" x14ac:dyDescent="0.2">
      <c r="B85" s="146">
        <v>27903</v>
      </c>
      <c r="C85" s="133">
        <f t="shared" ca="1" si="0"/>
        <v>43005</v>
      </c>
      <c r="D85" s="134">
        <f t="shared" ca="1" si="7"/>
        <v>41</v>
      </c>
      <c r="E85" s="135" t="s">
        <v>494</v>
      </c>
      <c r="F85" s="135" t="s">
        <v>50</v>
      </c>
      <c r="G85" s="177">
        <v>225349180</v>
      </c>
    </row>
    <row r="86" spans="2:7" s="99" customFormat="1" ht="28.5" customHeight="1" x14ac:dyDescent="0.2">
      <c r="B86" s="136">
        <v>27848</v>
      </c>
      <c r="C86" s="133">
        <f t="shared" ca="1" si="2"/>
        <v>43005</v>
      </c>
      <c r="D86" s="134">
        <f t="shared" ca="1" si="7"/>
        <v>41</v>
      </c>
      <c r="E86" s="138" t="s">
        <v>494</v>
      </c>
      <c r="F86" s="135" t="s">
        <v>50</v>
      </c>
      <c r="G86" s="177">
        <v>87410478</v>
      </c>
    </row>
    <row r="87" spans="2:7" s="105" customFormat="1" ht="28.5" customHeight="1" x14ac:dyDescent="0.2">
      <c r="B87" s="146">
        <v>27930</v>
      </c>
      <c r="C87" s="133">
        <f t="shared" ca="1" si="0"/>
        <v>43005</v>
      </c>
      <c r="D87" s="134">
        <f t="shared" ca="1" si="7"/>
        <v>41</v>
      </c>
      <c r="E87" s="135" t="s">
        <v>495</v>
      </c>
      <c r="F87" s="135" t="s">
        <v>50</v>
      </c>
      <c r="G87" s="177">
        <v>150142867</v>
      </c>
    </row>
    <row r="88" spans="2:7" s="99" customFormat="1" ht="28.5" customHeight="1" x14ac:dyDescent="0.2">
      <c r="B88" s="133">
        <v>27666</v>
      </c>
      <c r="C88" s="133">
        <f t="shared" ca="1" si="2"/>
        <v>43005</v>
      </c>
      <c r="D88" s="134">
        <f t="shared" ca="1" si="7"/>
        <v>42</v>
      </c>
      <c r="E88" s="135" t="s">
        <v>494</v>
      </c>
      <c r="F88" s="135" t="s">
        <v>50</v>
      </c>
      <c r="G88" s="177">
        <v>46773596</v>
      </c>
    </row>
    <row r="89" spans="2:7" s="105" customFormat="1" ht="28.5" customHeight="1" x14ac:dyDescent="0.2">
      <c r="B89" s="108">
        <v>27627</v>
      </c>
      <c r="C89" s="133">
        <f t="shared" ca="1" si="2"/>
        <v>43005</v>
      </c>
      <c r="D89" s="134">
        <f t="shared" ca="1" si="7"/>
        <v>42</v>
      </c>
      <c r="E89" s="145" t="s">
        <v>495</v>
      </c>
      <c r="F89" s="143" t="s">
        <v>164</v>
      </c>
      <c r="G89" s="177">
        <v>71757054</v>
      </c>
    </row>
    <row r="90" spans="2:7" s="105" customFormat="1" ht="28.5" customHeight="1" x14ac:dyDescent="0.2">
      <c r="B90" s="146">
        <v>27587</v>
      </c>
      <c r="C90" s="133">
        <f t="shared" ca="1" si="0"/>
        <v>43005</v>
      </c>
      <c r="D90" s="134">
        <f t="shared" ca="1" si="7"/>
        <v>42</v>
      </c>
      <c r="E90" s="135" t="s">
        <v>494</v>
      </c>
      <c r="F90" s="135" t="s">
        <v>50</v>
      </c>
      <c r="G90" s="177">
        <v>145499540</v>
      </c>
    </row>
    <row r="91" spans="2:7" s="105" customFormat="1" ht="28.5" customHeight="1" x14ac:dyDescent="0.2">
      <c r="B91" s="146">
        <v>27635</v>
      </c>
      <c r="C91" s="133">
        <f t="shared" ca="1" si="4"/>
        <v>43005</v>
      </c>
      <c r="D91" s="134">
        <f t="shared" ref="D91" ca="1" si="8">INT((C91-B91)/365)</f>
        <v>42</v>
      </c>
      <c r="E91" s="135" t="s">
        <v>495</v>
      </c>
      <c r="F91" s="135" t="s">
        <v>50</v>
      </c>
      <c r="G91" s="177">
        <v>105180000</v>
      </c>
    </row>
    <row r="92" spans="2:7" s="99" customFormat="1" ht="28.5" customHeight="1" x14ac:dyDescent="0.2">
      <c r="B92" s="133">
        <v>27088</v>
      </c>
      <c r="C92" s="133">
        <f t="shared" ca="1" si="5"/>
        <v>43005</v>
      </c>
      <c r="D92" s="134">
        <f t="shared" ref="D92:D123" ca="1" si="9">INT((C92-B92)/365)</f>
        <v>43</v>
      </c>
      <c r="E92" s="135" t="s">
        <v>495</v>
      </c>
      <c r="F92" s="135" t="s">
        <v>50</v>
      </c>
      <c r="G92" s="177">
        <v>57231946</v>
      </c>
    </row>
    <row r="93" spans="2:7" s="105" customFormat="1" ht="28.5" customHeight="1" x14ac:dyDescent="0.2">
      <c r="B93" s="146">
        <v>27107</v>
      </c>
      <c r="C93" s="133">
        <f t="shared" ca="1" si="0"/>
        <v>43005</v>
      </c>
      <c r="D93" s="134">
        <f t="shared" ca="1" si="9"/>
        <v>43</v>
      </c>
      <c r="E93" s="135" t="s">
        <v>494</v>
      </c>
      <c r="F93" s="135" t="s">
        <v>50</v>
      </c>
      <c r="G93" s="177">
        <v>41118000</v>
      </c>
    </row>
    <row r="94" spans="2:7" s="99" customFormat="1" ht="28.5" customHeight="1" x14ac:dyDescent="0.2">
      <c r="B94" s="139">
        <v>26950</v>
      </c>
      <c r="C94" s="133">
        <f t="shared" ca="1" si="2"/>
        <v>43005</v>
      </c>
      <c r="D94" s="134">
        <f t="shared" ca="1" si="9"/>
        <v>43</v>
      </c>
      <c r="E94" s="141" t="s">
        <v>495</v>
      </c>
      <c r="F94" s="135" t="s">
        <v>50</v>
      </c>
      <c r="G94" s="177">
        <v>101091671</v>
      </c>
    </row>
    <row r="95" spans="2:7" s="105" customFormat="1" ht="28.5" customHeight="1" x14ac:dyDescent="0.2">
      <c r="B95" s="146">
        <v>27214</v>
      </c>
      <c r="C95" s="133">
        <f t="shared" ca="1" si="0"/>
        <v>43005</v>
      </c>
      <c r="D95" s="134">
        <f t="shared" ca="1" si="9"/>
        <v>43</v>
      </c>
      <c r="E95" s="135" t="s">
        <v>495</v>
      </c>
      <c r="F95" s="135" t="s">
        <v>50</v>
      </c>
      <c r="G95" s="177">
        <v>155059928</v>
      </c>
    </row>
    <row r="96" spans="2:7" s="105" customFormat="1" ht="28.5" customHeight="1" x14ac:dyDescent="0.2">
      <c r="B96" s="146">
        <v>26917</v>
      </c>
      <c r="C96" s="133">
        <f t="shared" ca="1" si="0"/>
        <v>43005</v>
      </c>
      <c r="D96" s="134">
        <f t="shared" ca="1" si="9"/>
        <v>44</v>
      </c>
      <c r="E96" s="135" t="s">
        <v>495</v>
      </c>
      <c r="F96" s="135" t="s">
        <v>50</v>
      </c>
      <c r="G96" s="177">
        <v>101700000</v>
      </c>
    </row>
    <row r="97" spans="2:7" s="99" customFormat="1" ht="28.5" customHeight="1" x14ac:dyDescent="0.2">
      <c r="B97" s="133">
        <v>26908</v>
      </c>
      <c r="C97" s="133">
        <f t="shared" ca="1" si="5"/>
        <v>43005</v>
      </c>
      <c r="D97" s="134">
        <f t="shared" ca="1" si="9"/>
        <v>44</v>
      </c>
      <c r="E97" s="135" t="s">
        <v>495</v>
      </c>
      <c r="F97" s="135" t="s">
        <v>94</v>
      </c>
      <c r="G97" s="177">
        <v>137597706</v>
      </c>
    </row>
    <row r="98" spans="2:7" s="99" customFormat="1" ht="28.5" customHeight="1" x14ac:dyDescent="0.2">
      <c r="B98" s="136">
        <v>26652</v>
      </c>
      <c r="C98" s="133">
        <f t="shared" ca="1" si="2"/>
        <v>43005</v>
      </c>
      <c r="D98" s="134">
        <f t="shared" ca="1" si="9"/>
        <v>44</v>
      </c>
      <c r="E98" s="138" t="s">
        <v>494</v>
      </c>
      <c r="F98" s="138" t="s">
        <v>95</v>
      </c>
      <c r="G98" s="177">
        <v>92136345</v>
      </c>
    </row>
    <row r="99" spans="2:7" s="99" customFormat="1" ht="28.5" customHeight="1" x14ac:dyDescent="0.2">
      <c r="B99" s="133">
        <v>26261</v>
      </c>
      <c r="C99" s="133">
        <f t="shared" ca="1" si="2"/>
        <v>43005</v>
      </c>
      <c r="D99" s="134">
        <f t="shared" ca="1" si="9"/>
        <v>45</v>
      </c>
      <c r="E99" s="135" t="s">
        <v>494</v>
      </c>
      <c r="F99" s="135" t="s">
        <v>50</v>
      </c>
      <c r="G99" s="177">
        <v>62563360</v>
      </c>
    </row>
    <row r="100" spans="2:7" s="99" customFormat="1" ht="28.5" customHeight="1" x14ac:dyDescent="0.2">
      <c r="B100" s="136">
        <v>26284</v>
      </c>
      <c r="C100" s="133">
        <f t="shared" ca="1" si="2"/>
        <v>43005</v>
      </c>
      <c r="D100" s="134">
        <f t="shared" ca="1" si="9"/>
        <v>45</v>
      </c>
      <c r="E100" s="138" t="s">
        <v>494</v>
      </c>
      <c r="F100" s="135" t="s">
        <v>50</v>
      </c>
      <c r="G100" s="177">
        <v>105808349</v>
      </c>
    </row>
    <row r="101" spans="2:7" s="99" customFormat="1" ht="28.5" customHeight="1" x14ac:dyDescent="0.2">
      <c r="B101" s="133">
        <v>26516</v>
      </c>
      <c r="C101" s="133">
        <f t="shared" ca="1" si="2"/>
        <v>43005</v>
      </c>
      <c r="D101" s="134">
        <f t="shared" ca="1" si="9"/>
        <v>45</v>
      </c>
      <c r="E101" s="135" t="s">
        <v>494</v>
      </c>
      <c r="F101" s="135" t="s">
        <v>50</v>
      </c>
      <c r="G101" s="177">
        <v>112752801</v>
      </c>
    </row>
    <row r="102" spans="2:7" s="105" customFormat="1" ht="28.5" customHeight="1" x14ac:dyDescent="0.2">
      <c r="B102" s="108">
        <v>26234</v>
      </c>
      <c r="C102" s="133">
        <f t="shared" ca="1" si="2"/>
        <v>43005</v>
      </c>
      <c r="D102" s="134">
        <f t="shared" ca="1" si="9"/>
        <v>45</v>
      </c>
      <c r="E102" s="145" t="s">
        <v>494</v>
      </c>
      <c r="F102" s="135" t="s">
        <v>50</v>
      </c>
      <c r="G102" s="177">
        <v>180205861</v>
      </c>
    </row>
    <row r="103" spans="2:7" s="99" customFormat="1" ht="28.5" customHeight="1" x14ac:dyDescent="0.2">
      <c r="B103" s="147">
        <v>26402</v>
      </c>
      <c r="C103" s="133">
        <f t="shared" ca="1" si="0"/>
        <v>43005</v>
      </c>
      <c r="D103" s="134">
        <f t="shared" ca="1" si="9"/>
        <v>45</v>
      </c>
      <c r="E103" s="148" t="s">
        <v>495</v>
      </c>
      <c r="F103" s="135" t="s">
        <v>50</v>
      </c>
      <c r="G103" s="177">
        <v>85094879</v>
      </c>
    </row>
    <row r="104" spans="2:7" s="105" customFormat="1" ht="28.5" customHeight="1" x14ac:dyDescent="0.2">
      <c r="B104" s="146">
        <v>26252</v>
      </c>
      <c r="C104" s="133">
        <f t="shared" ca="1" si="0"/>
        <v>43005</v>
      </c>
      <c r="D104" s="134">
        <f t="shared" ca="1" si="9"/>
        <v>45</v>
      </c>
      <c r="E104" s="135" t="s">
        <v>494</v>
      </c>
      <c r="F104" s="135" t="s">
        <v>50</v>
      </c>
      <c r="G104" s="177">
        <v>223622658</v>
      </c>
    </row>
    <row r="105" spans="2:7" s="99" customFormat="1" ht="28.5" customHeight="1" x14ac:dyDescent="0.2">
      <c r="B105" s="133">
        <v>25895</v>
      </c>
      <c r="C105" s="133">
        <f t="shared" ca="1" si="5"/>
        <v>43005</v>
      </c>
      <c r="D105" s="134">
        <f t="shared" ca="1" si="9"/>
        <v>46</v>
      </c>
      <c r="E105" s="135" t="s">
        <v>495</v>
      </c>
      <c r="F105" s="135" t="s">
        <v>50</v>
      </c>
      <c r="G105" s="177">
        <v>159300458</v>
      </c>
    </row>
    <row r="106" spans="2:7" s="105" customFormat="1" ht="28.5" customHeight="1" x14ac:dyDescent="0.2">
      <c r="B106" s="146">
        <v>25862</v>
      </c>
      <c r="C106" s="133">
        <f t="shared" ca="1" si="0"/>
        <v>43005</v>
      </c>
      <c r="D106" s="134">
        <f t="shared" ca="1" si="9"/>
        <v>46</v>
      </c>
      <c r="E106" s="135" t="s">
        <v>494</v>
      </c>
      <c r="F106" s="135" t="s">
        <v>50</v>
      </c>
      <c r="G106" s="177">
        <v>241204728</v>
      </c>
    </row>
    <row r="107" spans="2:7" s="99" customFormat="1" ht="28.5" customHeight="1" x14ac:dyDescent="0.2">
      <c r="B107" s="133">
        <v>25974</v>
      </c>
      <c r="C107" s="133">
        <f t="shared" ca="1" si="5"/>
        <v>43005</v>
      </c>
      <c r="D107" s="134">
        <f t="shared" ca="1" si="9"/>
        <v>46</v>
      </c>
      <c r="E107" s="135" t="s">
        <v>495</v>
      </c>
      <c r="F107" s="135" t="s">
        <v>50</v>
      </c>
      <c r="G107" s="177">
        <v>164657828</v>
      </c>
    </row>
    <row r="108" spans="2:7" s="99" customFormat="1" ht="28.5" customHeight="1" x14ac:dyDescent="0.2">
      <c r="B108" s="136">
        <v>26116</v>
      </c>
      <c r="C108" s="133">
        <f t="shared" ca="1" si="5"/>
        <v>43005</v>
      </c>
      <c r="D108" s="134">
        <f t="shared" ca="1" si="9"/>
        <v>46</v>
      </c>
      <c r="E108" s="138" t="s">
        <v>495</v>
      </c>
      <c r="F108" s="138" t="s">
        <v>93</v>
      </c>
      <c r="G108" s="177">
        <v>193914880</v>
      </c>
    </row>
    <row r="109" spans="2:7" s="99" customFormat="1" ht="28.5" customHeight="1" x14ac:dyDescent="0.2">
      <c r="B109" s="133">
        <v>26087</v>
      </c>
      <c r="C109" s="133">
        <f t="shared" ca="1" si="5"/>
        <v>43005</v>
      </c>
      <c r="D109" s="134">
        <f t="shared" ca="1" si="9"/>
        <v>46</v>
      </c>
      <c r="E109" s="135" t="s">
        <v>495</v>
      </c>
      <c r="F109" s="135" t="s">
        <v>50</v>
      </c>
      <c r="G109" s="177">
        <v>37608483</v>
      </c>
    </row>
    <row r="110" spans="2:7" s="99" customFormat="1" ht="28.5" customHeight="1" x14ac:dyDescent="0.2">
      <c r="B110" s="133">
        <v>25928</v>
      </c>
      <c r="C110" s="133">
        <f t="shared" ca="1" si="2"/>
        <v>43005</v>
      </c>
      <c r="D110" s="134">
        <f t="shared" ca="1" si="9"/>
        <v>46</v>
      </c>
      <c r="E110" s="135" t="s">
        <v>494</v>
      </c>
      <c r="F110" s="135" t="s">
        <v>93</v>
      </c>
      <c r="G110" s="177">
        <v>49989781</v>
      </c>
    </row>
    <row r="111" spans="2:7" s="99" customFormat="1" ht="28.5" customHeight="1" x14ac:dyDescent="0.2">
      <c r="B111" s="133">
        <v>25955</v>
      </c>
      <c r="C111" s="133">
        <f t="shared" ca="1" si="2"/>
        <v>43005</v>
      </c>
      <c r="D111" s="134">
        <f t="shared" ca="1" si="9"/>
        <v>46</v>
      </c>
      <c r="E111" s="135" t="s">
        <v>494</v>
      </c>
      <c r="F111" s="135" t="s">
        <v>50</v>
      </c>
      <c r="G111" s="177">
        <v>57601641</v>
      </c>
    </row>
    <row r="112" spans="2:7" s="99" customFormat="1" ht="28.5" customHeight="1" x14ac:dyDescent="0.2">
      <c r="B112" s="136">
        <v>25860</v>
      </c>
      <c r="C112" s="133">
        <f t="shared" ca="1" si="2"/>
        <v>43005</v>
      </c>
      <c r="D112" s="134">
        <f t="shared" ca="1" si="9"/>
        <v>46</v>
      </c>
      <c r="E112" s="138" t="s">
        <v>494</v>
      </c>
      <c r="F112" s="135" t="s">
        <v>50</v>
      </c>
      <c r="G112" s="177">
        <v>110540444</v>
      </c>
    </row>
    <row r="113" spans="2:7" s="99" customFormat="1" ht="28.5" customHeight="1" x14ac:dyDescent="0.2">
      <c r="B113" s="136">
        <v>26128</v>
      </c>
      <c r="C113" s="133">
        <f t="shared" ca="1" si="2"/>
        <v>43005</v>
      </c>
      <c r="D113" s="134">
        <f t="shared" ca="1" si="9"/>
        <v>46</v>
      </c>
      <c r="E113" s="135" t="s">
        <v>494</v>
      </c>
      <c r="F113" s="135" t="s">
        <v>50</v>
      </c>
      <c r="G113" s="177">
        <v>8901908</v>
      </c>
    </row>
    <row r="114" spans="2:7" s="99" customFormat="1" ht="28.5" customHeight="1" x14ac:dyDescent="0.2">
      <c r="B114" s="136">
        <v>25978</v>
      </c>
      <c r="C114" s="133">
        <f t="shared" ca="1" si="2"/>
        <v>43005</v>
      </c>
      <c r="D114" s="134">
        <f t="shared" ca="1" si="9"/>
        <v>46</v>
      </c>
      <c r="E114" s="138" t="s">
        <v>495</v>
      </c>
      <c r="F114" s="135" t="s">
        <v>50</v>
      </c>
      <c r="G114" s="177">
        <v>137626428</v>
      </c>
    </row>
    <row r="115" spans="2:7" s="99" customFormat="1" ht="28.5" customHeight="1" x14ac:dyDescent="0.2">
      <c r="B115" s="108">
        <v>26160</v>
      </c>
      <c r="C115" s="133">
        <f t="shared" ca="1" si="2"/>
        <v>43005</v>
      </c>
      <c r="D115" s="134">
        <f t="shared" ca="1" si="9"/>
        <v>46</v>
      </c>
      <c r="E115" s="145" t="s">
        <v>494</v>
      </c>
      <c r="F115" s="135" t="s">
        <v>50</v>
      </c>
      <c r="G115" s="177">
        <v>175746492</v>
      </c>
    </row>
    <row r="116" spans="2:7" s="99" customFormat="1" ht="28.5" customHeight="1" x14ac:dyDescent="0.2">
      <c r="B116" s="133">
        <v>25630</v>
      </c>
      <c r="C116" s="133">
        <f t="shared" ca="1" si="5"/>
        <v>43005</v>
      </c>
      <c r="D116" s="134">
        <f t="shared" ca="1" si="9"/>
        <v>47</v>
      </c>
      <c r="E116" s="135" t="s">
        <v>495</v>
      </c>
      <c r="F116" s="135" t="s">
        <v>50</v>
      </c>
      <c r="G116" s="177">
        <v>43701810</v>
      </c>
    </row>
    <row r="117" spans="2:7" s="99" customFormat="1" ht="28.5" customHeight="1" x14ac:dyDescent="0.2">
      <c r="B117" s="133">
        <v>25627</v>
      </c>
      <c r="C117" s="133">
        <f t="shared" ca="1" si="5"/>
        <v>43005</v>
      </c>
      <c r="D117" s="134">
        <f t="shared" ca="1" si="9"/>
        <v>47</v>
      </c>
      <c r="E117" s="135" t="s">
        <v>495</v>
      </c>
      <c r="F117" s="135" t="s">
        <v>50</v>
      </c>
      <c r="G117" s="177">
        <v>134351097</v>
      </c>
    </row>
    <row r="118" spans="2:7" s="99" customFormat="1" ht="28.5" customHeight="1" x14ac:dyDescent="0.2">
      <c r="B118" s="133">
        <v>25661</v>
      </c>
      <c r="C118" s="133">
        <f t="shared" ca="1" si="2"/>
        <v>43005</v>
      </c>
      <c r="D118" s="134">
        <f t="shared" ca="1" si="9"/>
        <v>47</v>
      </c>
      <c r="E118" s="135" t="s">
        <v>494</v>
      </c>
      <c r="F118" s="135" t="s">
        <v>50</v>
      </c>
      <c r="G118" s="177">
        <v>95783673</v>
      </c>
    </row>
    <row r="119" spans="2:7" s="99" customFormat="1" ht="28.5" customHeight="1" x14ac:dyDescent="0.2">
      <c r="B119" s="133">
        <v>25581</v>
      </c>
      <c r="C119" s="133">
        <f t="shared" ca="1" si="2"/>
        <v>43005</v>
      </c>
      <c r="D119" s="134">
        <f t="shared" ca="1" si="9"/>
        <v>47</v>
      </c>
      <c r="E119" s="135" t="s">
        <v>494</v>
      </c>
      <c r="F119" s="135" t="s">
        <v>50</v>
      </c>
      <c r="G119" s="177">
        <v>149197710</v>
      </c>
    </row>
    <row r="120" spans="2:7" s="105" customFormat="1" ht="28.5" customHeight="1" x14ac:dyDescent="0.2">
      <c r="B120" s="146">
        <v>25747</v>
      </c>
      <c r="C120" s="133">
        <f t="shared" ca="1" si="0"/>
        <v>43005</v>
      </c>
      <c r="D120" s="134">
        <f t="shared" ca="1" si="9"/>
        <v>47</v>
      </c>
      <c r="E120" s="135" t="s">
        <v>495</v>
      </c>
      <c r="F120" s="135" t="s">
        <v>50</v>
      </c>
      <c r="G120" s="177">
        <v>167598081</v>
      </c>
    </row>
    <row r="121" spans="2:7" s="99" customFormat="1" ht="28.5" customHeight="1" x14ac:dyDescent="0.2">
      <c r="B121" s="133">
        <v>25164</v>
      </c>
      <c r="C121" s="133">
        <f t="shared" ca="1" si="5"/>
        <v>43005</v>
      </c>
      <c r="D121" s="134">
        <f t="shared" ca="1" si="9"/>
        <v>48</v>
      </c>
      <c r="E121" s="135" t="s">
        <v>495</v>
      </c>
      <c r="F121" s="135" t="s">
        <v>50</v>
      </c>
      <c r="G121" s="177">
        <v>123866318</v>
      </c>
    </row>
    <row r="122" spans="2:7" s="99" customFormat="1" ht="28.5" customHeight="1" x14ac:dyDescent="0.2">
      <c r="B122" s="140">
        <v>25348</v>
      </c>
      <c r="C122" s="133">
        <f t="shared" ca="1" si="5"/>
        <v>43005</v>
      </c>
      <c r="D122" s="134">
        <f t="shared" ca="1" si="9"/>
        <v>48</v>
      </c>
      <c r="E122" s="135" t="s">
        <v>495</v>
      </c>
      <c r="F122" s="135" t="s">
        <v>50</v>
      </c>
      <c r="G122" s="177">
        <v>12489312</v>
      </c>
    </row>
    <row r="123" spans="2:7" s="99" customFormat="1" ht="28.5" customHeight="1" x14ac:dyDescent="0.2">
      <c r="B123" s="133">
        <v>25428</v>
      </c>
      <c r="C123" s="133">
        <f t="shared" ca="1" si="2"/>
        <v>43005</v>
      </c>
      <c r="D123" s="134">
        <f t="shared" ca="1" si="9"/>
        <v>48</v>
      </c>
      <c r="E123" s="135" t="s">
        <v>494</v>
      </c>
      <c r="F123" s="135" t="s">
        <v>50</v>
      </c>
      <c r="G123" s="177">
        <v>40238471</v>
      </c>
    </row>
    <row r="124" spans="2:7" s="99" customFormat="1" ht="28.5" customHeight="1" x14ac:dyDescent="0.2">
      <c r="B124" s="133">
        <v>24848</v>
      </c>
      <c r="C124" s="133">
        <f t="shared" ca="1" si="2"/>
        <v>43005</v>
      </c>
      <c r="D124" s="134">
        <f t="shared" ref="D124:D155" ca="1" si="10">INT((C124-B124)/365)</f>
        <v>49</v>
      </c>
      <c r="E124" s="135" t="s">
        <v>494</v>
      </c>
      <c r="F124" s="135" t="s">
        <v>50</v>
      </c>
      <c r="G124" s="177">
        <v>92588249</v>
      </c>
    </row>
    <row r="125" spans="2:7" s="105" customFormat="1" ht="28.5" customHeight="1" x14ac:dyDescent="0.2">
      <c r="B125" s="108">
        <v>25055</v>
      </c>
      <c r="C125" s="133">
        <f t="shared" ca="1" si="2"/>
        <v>43005</v>
      </c>
      <c r="D125" s="134">
        <f t="shared" ca="1" si="10"/>
        <v>49</v>
      </c>
      <c r="E125" s="135" t="s">
        <v>495</v>
      </c>
      <c r="F125" s="135" t="s">
        <v>50</v>
      </c>
      <c r="G125" s="177">
        <v>58549802</v>
      </c>
    </row>
    <row r="126" spans="2:7" s="105" customFormat="1" ht="28.5" customHeight="1" x14ac:dyDescent="0.2">
      <c r="B126" s="146">
        <v>25108</v>
      </c>
      <c r="C126" s="133">
        <f t="shared" ca="1" si="0"/>
        <v>43005</v>
      </c>
      <c r="D126" s="134">
        <f t="shared" ca="1" si="10"/>
        <v>49</v>
      </c>
      <c r="E126" s="135" t="s">
        <v>494</v>
      </c>
      <c r="F126" s="135" t="s">
        <v>50</v>
      </c>
      <c r="G126" s="177">
        <v>150142867</v>
      </c>
    </row>
    <row r="127" spans="2:7" s="105" customFormat="1" ht="28.5" customHeight="1" x14ac:dyDescent="0.2">
      <c r="B127" s="146">
        <v>25092</v>
      </c>
      <c r="C127" s="133">
        <f t="shared" ca="1" si="0"/>
        <v>43005</v>
      </c>
      <c r="D127" s="134">
        <f t="shared" ca="1" si="10"/>
        <v>49</v>
      </c>
      <c r="E127" s="135" t="s">
        <v>494</v>
      </c>
      <c r="F127" s="135" t="s">
        <v>50</v>
      </c>
      <c r="G127" s="177">
        <v>111632238</v>
      </c>
    </row>
    <row r="128" spans="2:7" s="99" customFormat="1" ht="28.5" customHeight="1" x14ac:dyDescent="0.2">
      <c r="B128" s="133">
        <v>24637</v>
      </c>
      <c r="C128" s="133">
        <f t="shared" ca="1" si="5"/>
        <v>43005</v>
      </c>
      <c r="D128" s="134">
        <f t="shared" ca="1" si="10"/>
        <v>50</v>
      </c>
      <c r="E128" s="135" t="s">
        <v>494</v>
      </c>
      <c r="F128" s="135" t="s">
        <v>50</v>
      </c>
      <c r="G128" s="177">
        <v>33575359</v>
      </c>
    </row>
    <row r="129" spans="2:7" s="99" customFormat="1" ht="28.5" customHeight="1" x14ac:dyDescent="0.2">
      <c r="B129" s="133">
        <v>24561</v>
      </c>
      <c r="C129" s="133">
        <f t="shared" ca="1" si="5"/>
        <v>43005</v>
      </c>
      <c r="D129" s="134">
        <f t="shared" ca="1" si="10"/>
        <v>50</v>
      </c>
      <c r="E129" s="135" t="s">
        <v>495</v>
      </c>
      <c r="F129" s="135" t="s">
        <v>50</v>
      </c>
      <c r="G129" s="177">
        <v>153460428</v>
      </c>
    </row>
    <row r="130" spans="2:7" s="99" customFormat="1" ht="28.5" customHeight="1" x14ac:dyDescent="0.2">
      <c r="B130" s="133">
        <v>24537</v>
      </c>
      <c r="C130" s="133">
        <f t="shared" ca="1" si="5"/>
        <v>43005</v>
      </c>
      <c r="D130" s="134">
        <f t="shared" ca="1" si="10"/>
        <v>50</v>
      </c>
      <c r="E130" s="135" t="s">
        <v>495</v>
      </c>
      <c r="F130" s="135" t="s">
        <v>50</v>
      </c>
      <c r="G130" s="177">
        <v>57880225</v>
      </c>
    </row>
    <row r="131" spans="2:7" s="99" customFormat="1" ht="28.5" customHeight="1" x14ac:dyDescent="0.2">
      <c r="B131" s="133">
        <v>24526</v>
      </c>
      <c r="C131" s="133">
        <f t="shared" ca="1" si="2"/>
        <v>43005</v>
      </c>
      <c r="D131" s="134">
        <f t="shared" ca="1" si="10"/>
        <v>50</v>
      </c>
      <c r="E131" s="135" t="s">
        <v>494</v>
      </c>
      <c r="F131" s="135" t="s">
        <v>50</v>
      </c>
      <c r="G131" s="177">
        <v>92722633</v>
      </c>
    </row>
    <row r="132" spans="2:7" s="99" customFormat="1" ht="28.5" customHeight="1" x14ac:dyDescent="0.2">
      <c r="B132" s="136">
        <v>24444</v>
      </c>
      <c r="C132" s="133">
        <f t="shared" ca="1" si="2"/>
        <v>43005</v>
      </c>
      <c r="D132" s="134">
        <f t="shared" ca="1" si="10"/>
        <v>50</v>
      </c>
      <c r="E132" s="138" t="s">
        <v>494</v>
      </c>
      <c r="F132" s="135" t="s">
        <v>50</v>
      </c>
      <c r="G132" s="177">
        <v>100032730</v>
      </c>
    </row>
    <row r="133" spans="2:7" s="105" customFormat="1" ht="28.5" customHeight="1" x14ac:dyDescent="0.2">
      <c r="B133" s="146">
        <v>24734</v>
      </c>
      <c r="C133" s="133">
        <f t="shared" ca="1" si="0"/>
        <v>43005</v>
      </c>
      <c r="D133" s="134">
        <f t="shared" ca="1" si="10"/>
        <v>50</v>
      </c>
      <c r="E133" s="135" t="s">
        <v>495</v>
      </c>
      <c r="F133" s="135" t="s">
        <v>50</v>
      </c>
      <c r="G133" s="177">
        <v>108429886</v>
      </c>
    </row>
    <row r="134" spans="2:7" s="105" customFormat="1" ht="28.5" customHeight="1" x14ac:dyDescent="0.2">
      <c r="B134" s="146">
        <v>24711</v>
      </c>
      <c r="C134" s="133">
        <f t="shared" ca="1" si="0"/>
        <v>43005</v>
      </c>
      <c r="D134" s="134">
        <f t="shared" ca="1" si="10"/>
        <v>50</v>
      </c>
      <c r="E134" s="135" t="s">
        <v>495</v>
      </c>
      <c r="F134" s="135" t="s">
        <v>50</v>
      </c>
      <c r="G134" s="177">
        <v>114988418</v>
      </c>
    </row>
    <row r="135" spans="2:7" s="105" customFormat="1" ht="28.5" customHeight="1" x14ac:dyDescent="0.2">
      <c r="B135" s="146">
        <v>24233</v>
      </c>
      <c r="C135" s="133">
        <f t="shared" ca="1" si="4"/>
        <v>43005</v>
      </c>
      <c r="D135" s="134">
        <f t="shared" ca="1" si="10"/>
        <v>51</v>
      </c>
      <c r="E135" s="135" t="s">
        <v>495</v>
      </c>
      <c r="F135" s="135" t="s">
        <v>50</v>
      </c>
      <c r="G135" s="177">
        <v>100000000</v>
      </c>
    </row>
    <row r="136" spans="2:7" s="99" customFormat="1" ht="28.5" customHeight="1" x14ac:dyDescent="0.2">
      <c r="B136" s="133">
        <v>24046</v>
      </c>
      <c r="C136" s="133">
        <f t="shared" ca="1" si="5"/>
        <v>43005</v>
      </c>
      <c r="D136" s="134">
        <f t="shared" ca="1" si="10"/>
        <v>51</v>
      </c>
      <c r="E136" s="135" t="s">
        <v>495</v>
      </c>
      <c r="F136" s="135" t="s">
        <v>50</v>
      </c>
      <c r="G136" s="177">
        <v>73007247</v>
      </c>
    </row>
    <row r="137" spans="2:7" s="99" customFormat="1" ht="28.5" customHeight="1" x14ac:dyDescent="0.2">
      <c r="B137" s="133">
        <v>24373</v>
      </c>
      <c r="C137" s="133">
        <f t="shared" ca="1" si="5"/>
        <v>43005</v>
      </c>
      <c r="D137" s="134">
        <f t="shared" ca="1" si="10"/>
        <v>51</v>
      </c>
      <c r="E137" s="135" t="s">
        <v>495</v>
      </c>
      <c r="F137" s="135" t="s">
        <v>50</v>
      </c>
      <c r="G137" s="177">
        <v>18829062</v>
      </c>
    </row>
    <row r="138" spans="2:7" s="99" customFormat="1" ht="28.5" customHeight="1" x14ac:dyDescent="0.2">
      <c r="B138" s="140">
        <v>24366</v>
      </c>
      <c r="C138" s="133">
        <f t="shared" ca="1" si="5"/>
        <v>43005</v>
      </c>
      <c r="D138" s="134">
        <f t="shared" ca="1" si="10"/>
        <v>51</v>
      </c>
      <c r="E138" s="135" t="s">
        <v>495</v>
      </c>
      <c r="F138" s="135" t="s">
        <v>50</v>
      </c>
      <c r="G138" s="177">
        <v>44016293</v>
      </c>
    </row>
    <row r="139" spans="2:7" s="99" customFormat="1" ht="28.5" customHeight="1" x14ac:dyDescent="0.2">
      <c r="B139" s="133">
        <v>24319</v>
      </c>
      <c r="C139" s="133">
        <f t="shared" ca="1" si="2"/>
        <v>43005</v>
      </c>
      <c r="D139" s="134">
        <f t="shared" ca="1" si="10"/>
        <v>51</v>
      </c>
      <c r="E139" s="135" t="s">
        <v>494</v>
      </c>
      <c r="F139" s="135" t="s">
        <v>50</v>
      </c>
      <c r="G139" s="177">
        <v>28852440</v>
      </c>
    </row>
    <row r="140" spans="2:7" s="99" customFormat="1" ht="28.5" customHeight="1" x14ac:dyDescent="0.2">
      <c r="B140" s="133">
        <v>24381</v>
      </c>
      <c r="C140" s="133">
        <f t="shared" ca="1" si="2"/>
        <v>43005</v>
      </c>
      <c r="D140" s="134">
        <f t="shared" ca="1" si="10"/>
        <v>51</v>
      </c>
      <c r="E140" s="135" t="s">
        <v>494</v>
      </c>
      <c r="F140" s="135" t="s">
        <v>50</v>
      </c>
      <c r="G140" s="177">
        <v>42789146</v>
      </c>
    </row>
    <row r="141" spans="2:7" s="105" customFormat="1" ht="28.5" customHeight="1" x14ac:dyDescent="0.2">
      <c r="B141" s="133">
        <v>24348</v>
      </c>
      <c r="C141" s="133">
        <f t="shared" ca="1" si="2"/>
        <v>43005</v>
      </c>
      <c r="D141" s="134">
        <f t="shared" ca="1" si="10"/>
        <v>51</v>
      </c>
      <c r="E141" s="135" t="s">
        <v>494</v>
      </c>
      <c r="F141" s="135" t="s">
        <v>50</v>
      </c>
      <c r="G141" s="177">
        <v>27109975</v>
      </c>
    </row>
    <row r="142" spans="2:7" s="105" customFormat="1" ht="28.5" customHeight="1" x14ac:dyDescent="0.2">
      <c r="B142" s="146">
        <v>24275</v>
      </c>
      <c r="C142" s="133">
        <f t="shared" ca="1" si="0"/>
        <v>43005</v>
      </c>
      <c r="D142" s="134">
        <f t="shared" ca="1" si="10"/>
        <v>51</v>
      </c>
      <c r="E142" s="135" t="s">
        <v>495</v>
      </c>
      <c r="F142" s="135" t="s">
        <v>50</v>
      </c>
      <c r="G142" s="177">
        <v>239092922</v>
      </c>
    </row>
    <row r="143" spans="2:7" s="99" customFormat="1" ht="28.5" customHeight="1" x14ac:dyDescent="0.2">
      <c r="B143" s="133">
        <v>23887</v>
      </c>
      <c r="C143" s="133">
        <f t="shared" ca="1" si="5"/>
        <v>43005</v>
      </c>
      <c r="D143" s="134">
        <f t="shared" ca="1" si="10"/>
        <v>52</v>
      </c>
      <c r="E143" s="135" t="s">
        <v>495</v>
      </c>
      <c r="F143" s="135" t="s">
        <v>50</v>
      </c>
      <c r="G143" s="177">
        <v>5418657</v>
      </c>
    </row>
    <row r="144" spans="2:7" s="99" customFormat="1" ht="28.5" customHeight="1" x14ac:dyDescent="0.2">
      <c r="B144" s="133">
        <v>23916</v>
      </c>
      <c r="C144" s="133">
        <f t="shared" ca="1" si="5"/>
        <v>43005</v>
      </c>
      <c r="D144" s="134">
        <f t="shared" ca="1" si="10"/>
        <v>52</v>
      </c>
      <c r="E144" s="135" t="s">
        <v>495</v>
      </c>
      <c r="F144" s="135" t="s">
        <v>50</v>
      </c>
      <c r="G144" s="177">
        <v>116583207</v>
      </c>
    </row>
    <row r="145" spans="2:7" s="99" customFormat="1" ht="28.5" customHeight="1" x14ac:dyDescent="0.2">
      <c r="B145" s="133">
        <v>23668</v>
      </c>
      <c r="C145" s="133">
        <f t="shared" ca="1" si="5"/>
        <v>43005</v>
      </c>
      <c r="D145" s="134">
        <f t="shared" ca="1" si="10"/>
        <v>52</v>
      </c>
      <c r="E145" s="135" t="s">
        <v>495</v>
      </c>
      <c r="F145" s="135" t="s">
        <v>50</v>
      </c>
      <c r="G145" s="177">
        <v>135649793</v>
      </c>
    </row>
    <row r="146" spans="2:7" s="99" customFormat="1" ht="28.5" customHeight="1" x14ac:dyDescent="0.2">
      <c r="B146" s="136">
        <v>23766</v>
      </c>
      <c r="C146" s="133">
        <f t="shared" ca="1" si="5"/>
        <v>43005</v>
      </c>
      <c r="D146" s="134">
        <f t="shared" ca="1" si="10"/>
        <v>52</v>
      </c>
      <c r="E146" s="138" t="s">
        <v>495</v>
      </c>
      <c r="F146" s="135" t="s">
        <v>50</v>
      </c>
      <c r="G146" s="177">
        <v>190584032</v>
      </c>
    </row>
    <row r="147" spans="2:7" s="99" customFormat="1" ht="28.5" customHeight="1" x14ac:dyDescent="0.2">
      <c r="B147" s="133">
        <v>23661</v>
      </c>
      <c r="C147" s="133">
        <f t="shared" ca="1" si="5"/>
        <v>43005</v>
      </c>
      <c r="D147" s="134">
        <f t="shared" ca="1" si="10"/>
        <v>52</v>
      </c>
      <c r="E147" s="135" t="s">
        <v>495</v>
      </c>
      <c r="F147" s="135" t="s">
        <v>50</v>
      </c>
      <c r="G147" s="177">
        <v>95074847</v>
      </c>
    </row>
    <row r="148" spans="2:7" s="99" customFormat="1" ht="28.5" customHeight="1" x14ac:dyDescent="0.2">
      <c r="B148" s="133">
        <v>23784</v>
      </c>
      <c r="C148" s="133">
        <f t="shared" ca="1" si="2"/>
        <v>43005</v>
      </c>
      <c r="D148" s="134">
        <f t="shared" ca="1" si="10"/>
        <v>52</v>
      </c>
      <c r="E148" s="135" t="s">
        <v>494</v>
      </c>
      <c r="F148" s="135" t="s">
        <v>50</v>
      </c>
      <c r="G148" s="177">
        <v>57004225</v>
      </c>
    </row>
    <row r="149" spans="2:7" s="99" customFormat="1" ht="28.5" customHeight="1" x14ac:dyDescent="0.2">
      <c r="B149" s="133">
        <v>23696</v>
      </c>
      <c r="C149" s="133">
        <f t="shared" ca="1" si="2"/>
        <v>43005</v>
      </c>
      <c r="D149" s="134">
        <f t="shared" ca="1" si="10"/>
        <v>52</v>
      </c>
      <c r="E149" s="135" t="s">
        <v>494</v>
      </c>
      <c r="F149" s="135" t="s">
        <v>50</v>
      </c>
      <c r="G149" s="177">
        <v>92229083</v>
      </c>
    </row>
    <row r="150" spans="2:7" s="99" customFormat="1" ht="28.5" customHeight="1" x14ac:dyDescent="0.2">
      <c r="B150" s="136">
        <v>23326</v>
      </c>
      <c r="C150" s="133">
        <f t="shared" ca="1" si="5"/>
        <v>43005</v>
      </c>
      <c r="D150" s="134">
        <f t="shared" ca="1" si="10"/>
        <v>53</v>
      </c>
      <c r="E150" s="138" t="s">
        <v>495</v>
      </c>
      <c r="F150" s="135" t="s">
        <v>50</v>
      </c>
      <c r="G150" s="177">
        <v>83226314</v>
      </c>
    </row>
    <row r="151" spans="2:7" s="105" customFormat="1" ht="28.5" customHeight="1" x14ac:dyDescent="0.2">
      <c r="B151" s="146">
        <v>23373</v>
      </c>
      <c r="C151" s="133">
        <f t="shared" ca="1" si="0"/>
        <v>43005</v>
      </c>
      <c r="D151" s="134">
        <f t="shared" ca="1" si="10"/>
        <v>53</v>
      </c>
      <c r="E151" s="135" t="s">
        <v>494</v>
      </c>
      <c r="F151" s="135" t="s">
        <v>50</v>
      </c>
      <c r="G151" s="177">
        <v>61290000</v>
      </c>
    </row>
    <row r="152" spans="2:7" s="99" customFormat="1" ht="28.5" customHeight="1" x14ac:dyDescent="0.2">
      <c r="B152" s="133">
        <v>23410</v>
      </c>
      <c r="C152" s="133">
        <f t="shared" ca="1" si="5"/>
        <v>43005</v>
      </c>
      <c r="D152" s="134">
        <f t="shared" ca="1" si="10"/>
        <v>53</v>
      </c>
      <c r="E152" s="135" t="s">
        <v>495</v>
      </c>
      <c r="F152" s="135" t="s">
        <v>50</v>
      </c>
      <c r="G152" s="177">
        <v>137768615</v>
      </c>
    </row>
    <row r="153" spans="2:7" s="99" customFormat="1" ht="28.5" customHeight="1" x14ac:dyDescent="0.2">
      <c r="B153" s="133">
        <v>23562</v>
      </c>
      <c r="C153" s="133">
        <f t="shared" ca="1" si="2"/>
        <v>43005</v>
      </c>
      <c r="D153" s="134">
        <f t="shared" ca="1" si="10"/>
        <v>53</v>
      </c>
      <c r="E153" s="135" t="s">
        <v>494</v>
      </c>
      <c r="F153" s="135" t="s">
        <v>50</v>
      </c>
      <c r="G153" s="177">
        <v>130734917</v>
      </c>
    </row>
    <row r="154" spans="2:7" s="99" customFormat="1" ht="28.5" customHeight="1" x14ac:dyDescent="0.2">
      <c r="B154" s="133">
        <v>23313</v>
      </c>
      <c r="C154" s="133">
        <f t="shared" ca="1" si="2"/>
        <v>43005</v>
      </c>
      <c r="D154" s="134">
        <f t="shared" ca="1" si="10"/>
        <v>53</v>
      </c>
      <c r="E154" s="135" t="s">
        <v>494</v>
      </c>
      <c r="F154" s="135" t="s">
        <v>50</v>
      </c>
      <c r="G154" s="177">
        <v>22297106</v>
      </c>
    </row>
    <row r="155" spans="2:7" s="99" customFormat="1" ht="28.5" customHeight="1" x14ac:dyDescent="0.2">
      <c r="B155" s="136">
        <v>23165</v>
      </c>
      <c r="C155" s="133">
        <f t="shared" ca="1" si="2"/>
        <v>43005</v>
      </c>
      <c r="D155" s="134">
        <f t="shared" ca="1" si="10"/>
        <v>54</v>
      </c>
      <c r="E155" s="138" t="s">
        <v>494</v>
      </c>
      <c r="F155" s="135" t="s">
        <v>50</v>
      </c>
      <c r="G155" s="177">
        <v>36135857</v>
      </c>
    </row>
    <row r="156" spans="2:7" s="105" customFormat="1" ht="28.5" customHeight="1" x14ac:dyDescent="0.2">
      <c r="B156" s="108">
        <v>23166</v>
      </c>
      <c r="C156" s="133">
        <f t="shared" ca="1" si="2"/>
        <v>43005</v>
      </c>
      <c r="D156" s="134">
        <f t="shared" ref="D156" ca="1" si="11">INT((C156-B156)/365)</f>
        <v>54</v>
      </c>
      <c r="E156" s="145" t="s">
        <v>494</v>
      </c>
      <c r="F156" s="135" t="s">
        <v>50</v>
      </c>
      <c r="G156" s="177">
        <v>72168954</v>
      </c>
    </row>
    <row r="157" spans="2:7" s="99" customFormat="1" ht="28.5" customHeight="1" x14ac:dyDescent="0.2">
      <c r="B157" s="147">
        <v>23169</v>
      </c>
      <c r="C157" s="133">
        <f t="shared" ca="1" si="0"/>
        <v>43005</v>
      </c>
      <c r="D157" s="134">
        <f t="shared" ref="D157:D197" ca="1" si="12">INT((C157-B157)/365)</f>
        <v>54</v>
      </c>
      <c r="E157" s="148" t="s">
        <v>495</v>
      </c>
      <c r="F157" s="135" t="s">
        <v>50</v>
      </c>
      <c r="G157" s="177">
        <v>136999381</v>
      </c>
    </row>
    <row r="158" spans="2:7" s="105" customFormat="1" ht="28.5" customHeight="1" x14ac:dyDescent="0.2">
      <c r="B158" s="146">
        <v>23208</v>
      </c>
      <c r="C158" s="133">
        <f t="shared" ca="1" si="0"/>
        <v>43005</v>
      </c>
      <c r="D158" s="134">
        <f t="shared" ca="1" si="12"/>
        <v>54</v>
      </c>
      <c r="E158" s="135" t="s">
        <v>495</v>
      </c>
      <c r="F158" s="135" t="s">
        <v>50</v>
      </c>
      <c r="G158" s="177">
        <v>232873553</v>
      </c>
    </row>
    <row r="159" spans="2:7" s="99" customFormat="1" ht="28.5" customHeight="1" x14ac:dyDescent="0.2">
      <c r="B159" s="133">
        <v>22916</v>
      </c>
      <c r="C159" s="133">
        <f t="shared" ca="1" si="5"/>
        <v>43005</v>
      </c>
      <c r="D159" s="134">
        <f t="shared" ca="1" si="12"/>
        <v>55</v>
      </c>
      <c r="E159" s="135" t="s">
        <v>495</v>
      </c>
      <c r="F159" s="135" t="s">
        <v>50</v>
      </c>
      <c r="G159" s="177">
        <v>84923904</v>
      </c>
    </row>
    <row r="160" spans="2:7" s="99" customFormat="1" ht="28.5" customHeight="1" x14ac:dyDescent="0.2">
      <c r="B160" s="136">
        <v>22850</v>
      </c>
      <c r="C160" s="133">
        <f t="shared" ca="1" si="5"/>
        <v>43005</v>
      </c>
      <c r="D160" s="134">
        <f t="shared" ca="1" si="12"/>
        <v>55</v>
      </c>
      <c r="E160" s="138" t="s">
        <v>495</v>
      </c>
      <c r="F160" s="135" t="s">
        <v>50</v>
      </c>
      <c r="G160" s="177">
        <v>87146053</v>
      </c>
    </row>
    <row r="161" spans="2:7" s="99" customFormat="1" ht="28.5" customHeight="1" x14ac:dyDescent="0.2">
      <c r="B161" s="133">
        <v>22623</v>
      </c>
      <c r="C161" s="133">
        <f t="shared" ca="1" si="2"/>
        <v>43005</v>
      </c>
      <c r="D161" s="134">
        <f t="shared" ca="1" si="12"/>
        <v>55</v>
      </c>
      <c r="E161" s="135" t="s">
        <v>494</v>
      </c>
      <c r="F161" s="135" t="s">
        <v>50</v>
      </c>
      <c r="G161" s="177">
        <v>132503971</v>
      </c>
    </row>
    <row r="162" spans="2:7" s="105" customFormat="1" ht="28.5" customHeight="1" x14ac:dyDescent="0.2">
      <c r="B162" s="108">
        <v>22883</v>
      </c>
      <c r="C162" s="133">
        <f t="shared" ca="1" si="2"/>
        <v>43005</v>
      </c>
      <c r="D162" s="134">
        <f t="shared" ca="1" si="12"/>
        <v>55</v>
      </c>
      <c r="E162" s="145" t="s">
        <v>494</v>
      </c>
      <c r="F162" s="135" t="s">
        <v>50</v>
      </c>
      <c r="G162" s="177">
        <v>110933285</v>
      </c>
    </row>
    <row r="163" spans="2:7" s="105" customFormat="1" ht="28.5" customHeight="1" x14ac:dyDescent="0.2">
      <c r="B163" s="136">
        <v>22266</v>
      </c>
      <c r="C163" s="133">
        <f t="shared" ca="1" si="5"/>
        <v>43005</v>
      </c>
      <c r="D163" s="134">
        <f t="shared" ca="1" si="12"/>
        <v>56</v>
      </c>
      <c r="E163" s="138" t="s">
        <v>495</v>
      </c>
      <c r="F163" s="135" t="s">
        <v>50</v>
      </c>
      <c r="G163" s="177">
        <v>114948190</v>
      </c>
    </row>
    <row r="164" spans="2:7" s="99" customFormat="1" ht="28.5" customHeight="1" x14ac:dyDescent="0.2">
      <c r="B164" s="133">
        <v>22416</v>
      </c>
      <c r="C164" s="133">
        <f t="shared" ca="1" si="5"/>
        <v>43005</v>
      </c>
      <c r="D164" s="134">
        <f t="shared" ca="1" si="12"/>
        <v>56</v>
      </c>
      <c r="E164" s="135" t="s">
        <v>495</v>
      </c>
      <c r="F164" s="135" t="s">
        <v>50</v>
      </c>
      <c r="G164" s="177">
        <v>72686550</v>
      </c>
    </row>
    <row r="165" spans="2:7" s="99" customFormat="1" ht="28.5" customHeight="1" x14ac:dyDescent="0.2">
      <c r="B165" s="136">
        <v>22289</v>
      </c>
      <c r="C165" s="133">
        <f t="shared" ca="1" si="5"/>
        <v>43005</v>
      </c>
      <c r="D165" s="134">
        <f t="shared" ca="1" si="12"/>
        <v>56</v>
      </c>
      <c r="E165" s="138" t="s">
        <v>495</v>
      </c>
      <c r="F165" s="135" t="s">
        <v>50</v>
      </c>
      <c r="G165" s="177">
        <v>60665068</v>
      </c>
    </row>
    <row r="166" spans="2:7" s="99" customFormat="1" ht="28.5" customHeight="1" x14ac:dyDescent="0.2">
      <c r="B166" s="136">
        <v>22465</v>
      </c>
      <c r="C166" s="133">
        <f t="shared" ca="1" si="5"/>
        <v>43005</v>
      </c>
      <c r="D166" s="134">
        <f t="shared" ca="1" si="12"/>
        <v>56</v>
      </c>
      <c r="E166" s="138" t="s">
        <v>495</v>
      </c>
      <c r="F166" s="135" t="s">
        <v>50</v>
      </c>
      <c r="G166" s="177">
        <v>46055585</v>
      </c>
    </row>
    <row r="167" spans="2:7" s="99" customFormat="1" ht="28.5" customHeight="1" x14ac:dyDescent="0.2">
      <c r="B167" s="136">
        <v>22442</v>
      </c>
      <c r="C167" s="133">
        <f t="shared" ca="1" si="2"/>
        <v>43005</v>
      </c>
      <c r="D167" s="134">
        <f t="shared" ca="1" si="12"/>
        <v>56</v>
      </c>
      <c r="E167" s="138" t="s">
        <v>495</v>
      </c>
      <c r="F167" s="135" t="s">
        <v>50</v>
      </c>
      <c r="G167" s="177">
        <v>145421086</v>
      </c>
    </row>
    <row r="168" spans="2:7" s="99" customFormat="1" ht="28.5" customHeight="1" x14ac:dyDescent="0.2">
      <c r="B168" s="136">
        <v>22301</v>
      </c>
      <c r="C168" s="133">
        <f t="shared" ca="1" si="2"/>
        <v>43005</v>
      </c>
      <c r="D168" s="134">
        <f t="shared" ca="1" si="12"/>
        <v>56</v>
      </c>
      <c r="E168" s="138" t="s">
        <v>495</v>
      </c>
      <c r="F168" s="135" t="s">
        <v>50</v>
      </c>
      <c r="G168" s="177">
        <v>199578542</v>
      </c>
    </row>
    <row r="169" spans="2:7" s="99" customFormat="1" ht="28.5" customHeight="1" x14ac:dyDescent="0.2">
      <c r="B169" s="147">
        <v>22407</v>
      </c>
      <c r="C169" s="133">
        <f t="shared" ca="1" si="0"/>
        <v>43005</v>
      </c>
      <c r="D169" s="134">
        <f t="shared" ca="1" si="12"/>
        <v>56</v>
      </c>
      <c r="E169" s="148" t="s">
        <v>495</v>
      </c>
      <c r="F169" s="135" t="s">
        <v>50</v>
      </c>
      <c r="G169" s="177">
        <v>162109646</v>
      </c>
    </row>
    <row r="170" spans="2:7" s="105" customFormat="1" ht="28.5" customHeight="1" x14ac:dyDescent="0.2">
      <c r="B170" s="146">
        <v>22329</v>
      </c>
      <c r="C170" s="133">
        <f t="shared" ca="1" si="0"/>
        <v>43005</v>
      </c>
      <c r="D170" s="134">
        <f t="shared" ca="1" si="12"/>
        <v>56</v>
      </c>
      <c r="E170" s="135" t="s">
        <v>495</v>
      </c>
      <c r="F170" s="135" t="s">
        <v>50</v>
      </c>
      <c r="G170" s="177">
        <v>61290000</v>
      </c>
    </row>
    <row r="171" spans="2:7" s="99" customFormat="1" ht="28.5" customHeight="1" x14ac:dyDescent="0.2">
      <c r="B171" s="133">
        <v>21830</v>
      </c>
      <c r="C171" s="133">
        <f t="shared" ca="1" si="5"/>
        <v>43005</v>
      </c>
      <c r="D171" s="134">
        <f t="shared" ca="1" si="12"/>
        <v>58</v>
      </c>
      <c r="E171" s="135" t="s">
        <v>494</v>
      </c>
      <c r="F171" s="135" t="s">
        <v>50</v>
      </c>
      <c r="G171" s="177">
        <v>19621181</v>
      </c>
    </row>
    <row r="172" spans="2:7" s="99" customFormat="1" ht="28.5" customHeight="1" x14ac:dyDescent="0.2">
      <c r="B172" s="133">
        <v>21890</v>
      </c>
      <c r="C172" s="133">
        <f t="shared" ca="1" si="5"/>
        <v>43005</v>
      </c>
      <c r="D172" s="134">
        <f t="shared" ca="1" si="12"/>
        <v>57</v>
      </c>
      <c r="E172" s="135" t="s">
        <v>494</v>
      </c>
      <c r="F172" s="135" t="s">
        <v>50</v>
      </c>
      <c r="G172" s="177">
        <v>111120213</v>
      </c>
    </row>
    <row r="173" spans="2:7" s="99" customFormat="1" ht="28.5" customHeight="1" x14ac:dyDescent="0.2">
      <c r="B173" s="133">
        <v>21950</v>
      </c>
      <c r="C173" s="133">
        <f t="shared" ca="1" si="5"/>
        <v>43005</v>
      </c>
      <c r="D173" s="134">
        <f t="shared" ca="1" si="12"/>
        <v>57</v>
      </c>
      <c r="E173" s="135" t="s">
        <v>495</v>
      </c>
      <c r="F173" s="135" t="s">
        <v>50</v>
      </c>
      <c r="G173" s="177">
        <v>99664864</v>
      </c>
    </row>
    <row r="174" spans="2:7" s="99" customFormat="1" ht="28.5" customHeight="1" x14ac:dyDescent="0.2">
      <c r="B174" s="133">
        <v>22060</v>
      </c>
      <c r="C174" s="133">
        <f t="shared" ca="1" si="5"/>
        <v>43005</v>
      </c>
      <c r="D174" s="134">
        <f t="shared" ca="1" si="12"/>
        <v>57</v>
      </c>
      <c r="E174" s="135" t="s">
        <v>495</v>
      </c>
      <c r="F174" s="135" t="s">
        <v>50</v>
      </c>
      <c r="G174" s="177">
        <v>45566948</v>
      </c>
    </row>
    <row r="175" spans="2:7" s="99" customFormat="1" ht="28.5" customHeight="1" x14ac:dyDescent="0.2">
      <c r="B175" s="136">
        <v>21968</v>
      </c>
      <c r="C175" s="133">
        <f t="shared" ca="1" si="5"/>
        <v>43005</v>
      </c>
      <c r="D175" s="134">
        <f t="shared" ca="1" si="12"/>
        <v>57</v>
      </c>
      <c r="E175" s="138" t="s">
        <v>495</v>
      </c>
      <c r="F175" s="135" t="s">
        <v>50</v>
      </c>
      <c r="G175" s="177">
        <v>127582588</v>
      </c>
    </row>
    <row r="176" spans="2:7" s="99" customFormat="1" ht="28.5" customHeight="1" x14ac:dyDescent="0.2">
      <c r="B176" s="133">
        <v>21942</v>
      </c>
      <c r="C176" s="133">
        <f t="shared" ca="1" si="5"/>
        <v>43005</v>
      </c>
      <c r="D176" s="134">
        <f t="shared" ca="1" si="12"/>
        <v>57</v>
      </c>
      <c r="E176" s="135" t="s">
        <v>495</v>
      </c>
      <c r="F176" s="135" t="s">
        <v>50</v>
      </c>
      <c r="G176" s="177">
        <v>45813585</v>
      </c>
    </row>
    <row r="177" spans="2:7" s="105" customFormat="1" ht="28.5" customHeight="1" x14ac:dyDescent="0.2">
      <c r="B177" s="146">
        <v>21984</v>
      </c>
      <c r="C177" s="133">
        <f t="shared" ca="1" si="0"/>
        <v>43005</v>
      </c>
      <c r="D177" s="134">
        <f t="shared" ca="1" si="12"/>
        <v>57</v>
      </c>
      <c r="E177" s="135" t="s">
        <v>495</v>
      </c>
      <c r="F177" s="135" t="s">
        <v>50</v>
      </c>
      <c r="G177" s="177">
        <v>75969867</v>
      </c>
    </row>
    <row r="178" spans="2:7" s="99" customFormat="1" ht="28.5" customHeight="1" x14ac:dyDescent="0.2">
      <c r="B178" s="133">
        <v>21476</v>
      </c>
      <c r="C178" s="133">
        <f t="shared" ca="1" si="5"/>
        <v>43005</v>
      </c>
      <c r="D178" s="134">
        <f t="shared" ca="1" si="12"/>
        <v>58</v>
      </c>
      <c r="E178" s="135" t="s">
        <v>494</v>
      </c>
      <c r="F178" s="135" t="s">
        <v>50</v>
      </c>
      <c r="G178" s="177">
        <v>99016709</v>
      </c>
    </row>
    <row r="179" spans="2:7" s="99" customFormat="1" ht="28.5" customHeight="1" x14ac:dyDescent="0.2">
      <c r="B179" s="136">
        <v>21556</v>
      </c>
      <c r="C179" s="133">
        <f t="shared" ca="1" si="5"/>
        <v>43005</v>
      </c>
      <c r="D179" s="134">
        <f t="shared" ca="1" si="12"/>
        <v>58</v>
      </c>
      <c r="E179" s="138" t="s">
        <v>495</v>
      </c>
      <c r="F179" s="135" t="s">
        <v>50</v>
      </c>
      <c r="G179" s="177">
        <v>41212162</v>
      </c>
    </row>
    <row r="180" spans="2:7" s="99" customFormat="1" ht="28.5" customHeight="1" x14ac:dyDescent="0.2">
      <c r="B180" s="133">
        <v>21489</v>
      </c>
      <c r="C180" s="133">
        <f t="shared" ca="1" si="5"/>
        <v>43005</v>
      </c>
      <c r="D180" s="134">
        <f t="shared" ca="1" si="12"/>
        <v>58</v>
      </c>
      <c r="E180" s="135" t="s">
        <v>495</v>
      </c>
      <c r="F180" s="135" t="s">
        <v>50</v>
      </c>
      <c r="G180" s="177">
        <v>139186438</v>
      </c>
    </row>
    <row r="181" spans="2:7" s="105" customFormat="1" ht="28.5" customHeight="1" x14ac:dyDescent="0.2">
      <c r="B181" s="146">
        <v>21746</v>
      </c>
      <c r="C181" s="133">
        <f t="shared" ca="1" si="0"/>
        <v>43005</v>
      </c>
      <c r="D181" s="134">
        <f t="shared" ca="1" si="12"/>
        <v>58</v>
      </c>
      <c r="E181" s="135" t="s">
        <v>494</v>
      </c>
      <c r="F181" s="135" t="s">
        <v>50</v>
      </c>
      <c r="G181" s="177">
        <v>248182097</v>
      </c>
    </row>
    <row r="182" spans="2:7" s="99" customFormat="1" ht="28.5" customHeight="1" x14ac:dyDescent="0.2">
      <c r="B182" s="133">
        <v>21576</v>
      </c>
      <c r="C182" s="133">
        <f t="shared" ca="1" si="5"/>
        <v>43005</v>
      </c>
      <c r="D182" s="134">
        <f t="shared" ca="1" si="12"/>
        <v>58</v>
      </c>
      <c r="E182" s="135" t="s">
        <v>495</v>
      </c>
      <c r="F182" s="135" t="s">
        <v>50</v>
      </c>
      <c r="G182" s="177">
        <v>26888991</v>
      </c>
    </row>
    <row r="183" spans="2:7" s="99" customFormat="1" ht="28.5" customHeight="1" x14ac:dyDescent="0.2">
      <c r="B183" s="133">
        <v>21784</v>
      </c>
      <c r="C183" s="133">
        <f t="shared" ca="1" si="2"/>
        <v>43005</v>
      </c>
      <c r="D183" s="134">
        <f t="shared" ca="1" si="12"/>
        <v>58</v>
      </c>
      <c r="E183" s="135" t="s">
        <v>494</v>
      </c>
      <c r="F183" s="135" t="s">
        <v>50</v>
      </c>
      <c r="G183" s="177">
        <v>94596634</v>
      </c>
    </row>
    <row r="184" spans="2:7" s="105" customFormat="1" ht="28.5" customHeight="1" x14ac:dyDescent="0.2">
      <c r="B184" s="146">
        <v>21619</v>
      </c>
      <c r="C184" s="133">
        <f t="shared" ca="1" si="0"/>
        <v>43005</v>
      </c>
      <c r="D184" s="134">
        <f t="shared" ca="1" si="12"/>
        <v>58</v>
      </c>
      <c r="E184" s="135" t="s">
        <v>494</v>
      </c>
      <c r="F184" s="135" t="s">
        <v>50</v>
      </c>
      <c r="G184" s="177">
        <v>135400517</v>
      </c>
    </row>
    <row r="185" spans="2:7" s="105" customFormat="1" ht="28.5" customHeight="1" x14ac:dyDescent="0.2">
      <c r="B185" s="146">
        <v>21790</v>
      </c>
      <c r="C185" s="133">
        <f t="shared" ca="1" si="0"/>
        <v>43005</v>
      </c>
      <c r="D185" s="134">
        <f t="shared" ca="1" si="12"/>
        <v>58</v>
      </c>
      <c r="E185" s="135" t="s">
        <v>495</v>
      </c>
      <c r="F185" s="135" t="s">
        <v>50</v>
      </c>
      <c r="G185" s="177">
        <v>82419714</v>
      </c>
    </row>
    <row r="186" spans="2:7" s="99" customFormat="1" ht="28.5" customHeight="1" x14ac:dyDescent="0.2">
      <c r="B186" s="139">
        <v>21187</v>
      </c>
      <c r="C186" s="133">
        <f t="shared" ca="1" si="5"/>
        <v>43005</v>
      </c>
      <c r="D186" s="134">
        <f t="shared" ca="1" si="12"/>
        <v>59</v>
      </c>
      <c r="E186" s="135" t="s">
        <v>494</v>
      </c>
      <c r="F186" s="135" t="s">
        <v>50</v>
      </c>
      <c r="G186" s="177">
        <v>44745242</v>
      </c>
    </row>
    <row r="187" spans="2:7" s="99" customFormat="1" ht="28.5" customHeight="1" x14ac:dyDescent="0.2">
      <c r="B187" s="133">
        <v>21434</v>
      </c>
      <c r="C187" s="133">
        <f t="shared" ca="1" si="5"/>
        <v>43005</v>
      </c>
      <c r="D187" s="134">
        <f t="shared" ca="1" si="12"/>
        <v>59</v>
      </c>
      <c r="E187" s="135" t="s">
        <v>495</v>
      </c>
      <c r="F187" s="135" t="s">
        <v>50</v>
      </c>
      <c r="G187" s="177">
        <v>68371718</v>
      </c>
    </row>
    <row r="188" spans="2:7" s="99" customFormat="1" ht="28.5" customHeight="1" x14ac:dyDescent="0.2">
      <c r="B188" s="136">
        <v>21328</v>
      </c>
      <c r="C188" s="133">
        <f t="shared" ca="1" si="2"/>
        <v>43005</v>
      </c>
      <c r="D188" s="134">
        <f t="shared" ca="1" si="12"/>
        <v>59</v>
      </c>
      <c r="E188" s="138" t="s">
        <v>494</v>
      </c>
      <c r="F188" s="135" t="s">
        <v>50</v>
      </c>
      <c r="G188" s="177">
        <v>34449541</v>
      </c>
    </row>
    <row r="189" spans="2:7" s="105" customFormat="1" ht="28.5" customHeight="1" x14ac:dyDescent="0.2">
      <c r="B189" s="108">
        <v>21268</v>
      </c>
      <c r="C189" s="133">
        <f t="shared" ca="1" si="0"/>
        <v>43005</v>
      </c>
      <c r="D189" s="134">
        <f t="shared" ca="1" si="12"/>
        <v>59</v>
      </c>
      <c r="E189" s="145" t="s">
        <v>494</v>
      </c>
      <c r="F189" s="135" t="s">
        <v>50</v>
      </c>
      <c r="G189" s="177">
        <v>49222511</v>
      </c>
    </row>
    <row r="190" spans="2:7" s="99" customFormat="1" ht="28.5" customHeight="1" x14ac:dyDescent="0.2">
      <c r="B190" s="133">
        <v>20880</v>
      </c>
      <c r="C190" s="133">
        <f t="shared" ca="1" si="5"/>
        <v>43005</v>
      </c>
      <c r="D190" s="134">
        <f t="shared" ca="1" si="12"/>
        <v>60</v>
      </c>
      <c r="E190" s="135" t="s">
        <v>495</v>
      </c>
      <c r="F190" s="135" t="s">
        <v>50</v>
      </c>
      <c r="G190" s="177">
        <v>41530236</v>
      </c>
    </row>
    <row r="191" spans="2:7" s="99" customFormat="1" ht="28.5" customHeight="1" x14ac:dyDescent="0.2">
      <c r="B191" s="133">
        <v>20926</v>
      </c>
      <c r="C191" s="133">
        <f t="shared" ca="1" si="5"/>
        <v>43005</v>
      </c>
      <c r="D191" s="134">
        <f t="shared" ca="1" si="12"/>
        <v>60</v>
      </c>
      <c r="E191" s="135" t="s">
        <v>495</v>
      </c>
      <c r="F191" s="135" t="s">
        <v>50</v>
      </c>
      <c r="G191" s="177">
        <v>42252875</v>
      </c>
    </row>
    <row r="192" spans="2:7" s="99" customFormat="1" ht="28.5" customHeight="1" x14ac:dyDescent="0.2">
      <c r="B192" s="140">
        <v>20717</v>
      </c>
      <c r="C192" s="133">
        <f t="shared" ca="1" si="5"/>
        <v>43005</v>
      </c>
      <c r="D192" s="134">
        <f t="shared" ca="1" si="12"/>
        <v>61</v>
      </c>
      <c r="E192" s="135" t="s">
        <v>495</v>
      </c>
      <c r="F192" s="135" t="s">
        <v>50</v>
      </c>
      <c r="G192" s="177">
        <v>40322286</v>
      </c>
    </row>
    <row r="193" spans="2:7" s="99" customFormat="1" ht="28.5" customHeight="1" x14ac:dyDescent="0.2">
      <c r="B193" s="139">
        <v>20697</v>
      </c>
      <c r="C193" s="133">
        <f t="shared" ca="1" si="5"/>
        <v>43005</v>
      </c>
      <c r="D193" s="134">
        <f t="shared" ca="1" si="12"/>
        <v>61</v>
      </c>
      <c r="E193" s="135" t="s">
        <v>495</v>
      </c>
      <c r="F193" s="135" t="s">
        <v>50</v>
      </c>
      <c r="G193" s="177">
        <v>76603290</v>
      </c>
    </row>
    <row r="194" spans="2:7" s="99" customFormat="1" ht="28.5" customHeight="1" x14ac:dyDescent="0.2">
      <c r="B194" s="133">
        <v>20486</v>
      </c>
      <c r="C194" s="133">
        <f t="shared" ca="1" si="2"/>
        <v>43005</v>
      </c>
      <c r="D194" s="134">
        <f t="shared" ca="1" si="12"/>
        <v>61</v>
      </c>
      <c r="E194" s="135" t="s">
        <v>494</v>
      </c>
      <c r="F194" s="135" t="s">
        <v>50</v>
      </c>
      <c r="G194" s="177">
        <v>151457343</v>
      </c>
    </row>
    <row r="195" spans="2:7" s="99" customFormat="1" ht="28.5" customHeight="1" x14ac:dyDescent="0.2">
      <c r="B195" s="140">
        <v>20103</v>
      </c>
      <c r="C195" s="133">
        <f t="shared" ca="1" si="5"/>
        <v>43005</v>
      </c>
      <c r="D195" s="134">
        <f t="shared" ca="1" si="12"/>
        <v>62</v>
      </c>
      <c r="E195" s="135" t="s">
        <v>495</v>
      </c>
      <c r="F195" s="135" t="s">
        <v>50</v>
      </c>
      <c r="G195" s="177">
        <v>92258920</v>
      </c>
    </row>
    <row r="196" spans="2:7" s="105" customFormat="1" ht="28.5" customHeight="1" x14ac:dyDescent="0.2">
      <c r="B196" s="136">
        <v>19740</v>
      </c>
      <c r="C196" s="133">
        <f t="shared" ca="1" si="5"/>
        <v>43005</v>
      </c>
      <c r="D196" s="134">
        <f t="shared" ca="1" si="12"/>
        <v>63</v>
      </c>
      <c r="E196" s="138" t="s">
        <v>495</v>
      </c>
      <c r="F196" s="135" t="s">
        <v>50</v>
      </c>
      <c r="G196" s="177">
        <v>199567918</v>
      </c>
    </row>
    <row r="197" spans="2:7" s="99" customFormat="1" ht="28.5" customHeight="1" x14ac:dyDescent="0.2">
      <c r="B197" s="133">
        <v>19539</v>
      </c>
      <c r="C197" s="133">
        <f ca="1">TODAY()</f>
        <v>43005</v>
      </c>
      <c r="D197" s="134">
        <f t="shared" ca="1" si="12"/>
        <v>64</v>
      </c>
      <c r="E197" s="135" t="s">
        <v>494</v>
      </c>
      <c r="F197" s="135" t="s">
        <v>50</v>
      </c>
      <c r="G197" s="177">
        <v>138142549</v>
      </c>
    </row>
    <row r="198" spans="2:7" s="99" customFormat="1" ht="28.5" customHeight="1" x14ac:dyDescent="0.2">
      <c r="B198" s="136">
        <v>19505</v>
      </c>
      <c r="C198" s="133">
        <f t="shared" ca="1" si="5"/>
        <v>43005</v>
      </c>
      <c r="D198" s="134">
        <f t="shared" ref="D198:D202" ca="1" si="13">INT((C198-B198)/365)</f>
        <v>64</v>
      </c>
      <c r="E198" s="138" t="s">
        <v>494</v>
      </c>
      <c r="F198" s="138" t="s">
        <v>93</v>
      </c>
      <c r="G198" s="177">
        <v>152040515</v>
      </c>
    </row>
    <row r="199" spans="2:7" s="99" customFormat="1" ht="28.5" customHeight="1" x14ac:dyDescent="0.2">
      <c r="B199" s="133">
        <v>18330</v>
      </c>
      <c r="C199" s="133">
        <f t="shared" ca="1" si="5"/>
        <v>43005</v>
      </c>
      <c r="D199" s="134">
        <f ca="1">INT((C199-B199)/365)</f>
        <v>67</v>
      </c>
      <c r="E199" s="135" t="s">
        <v>494</v>
      </c>
      <c r="F199" s="135" t="s">
        <v>50</v>
      </c>
      <c r="G199" s="177">
        <v>139389583</v>
      </c>
    </row>
    <row r="200" spans="2:7" s="99" customFormat="1" ht="28.5" customHeight="1" x14ac:dyDescent="0.2">
      <c r="B200" s="139">
        <v>18317</v>
      </c>
      <c r="C200" s="133">
        <f t="shared" ca="1" si="5"/>
        <v>43005</v>
      </c>
      <c r="D200" s="134">
        <f ca="1">INT((C200-B200)/365)</f>
        <v>67</v>
      </c>
      <c r="E200" s="135" t="s">
        <v>495</v>
      </c>
      <c r="F200" s="135" t="s">
        <v>50</v>
      </c>
      <c r="G200" s="177">
        <v>138057555</v>
      </c>
    </row>
    <row r="201" spans="2:7" s="99" customFormat="1" ht="28.5" customHeight="1" x14ac:dyDescent="0.2">
      <c r="B201" s="133">
        <v>15427</v>
      </c>
      <c r="C201" s="133">
        <f t="shared" ca="1" si="5"/>
        <v>43005</v>
      </c>
      <c r="D201" s="134">
        <f t="shared" ca="1" si="13"/>
        <v>75</v>
      </c>
      <c r="E201" s="135" t="s">
        <v>494</v>
      </c>
      <c r="F201" s="135" t="s">
        <v>50</v>
      </c>
      <c r="G201" s="177">
        <v>148320575</v>
      </c>
    </row>
    <row r="202" spans="2:7" s="99" customFormat="1" ht="28.5" customHeight="1" x14ac:dyDescent="0.2">
      <c r="B202" s="139">
        <v>15328</v>
      </c>
      <c r="C202" s="133">
        <f t="shared" ca="1" si="5"/>
        <v>43005</v>
      </c>
      <c r="D202" s="134">
        <f t="shared" ca="1" si="13"/>
        <v>75</v>
      </c>
      <c r="E202" s="135" t="s">
        <v>495</v>
      </c>
      <c r="F202" s="135" t="s">
        <v>50</v>
      </c>
      <c r="G202" s="177">
        <v>26733704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9"/>
  <sheetViews>
    <sheetView workbookViewId="0">
      <selection activeCell="D3" sqref="D3"/>
    </sheetView>
  </sheetViews>
  <sheetFormatPr baseColWidth="10" defaultColWidth="11.42578125" defaultRowHeight="27" customHeight="1" x14ac:dyDescent="0.25"/>
  <cols>
    <col min="1" max="1" width="11.42578125" style="94"/>
    <col min="2" max="2" width="13.5703125" style="121" bestFit="1" customWidth="1"/>
    <col min="3" max="4" width="12.42578125" style="121" customWidth="1"/>
    <col min="5" max="5" width="29.42578125" style="113" bestFit="1" customWidth="1"/>
    <col min="6" max="6" width="12.85546875" style="121" customWidth="1"/>
    <col min="7" max="7" width="15.7109375" style="121" bestFit="1" customWidth="1"/>
    <col min="8" max="8" width="80" style="113" customWidth="1"/>
    <col min="9" max="9" width="18.42578125" style="121" bestFit="1" customWidth="1"/>
    <col min="11" max="16384" width="11.42578125" style="94"/>
  </cols>
  <sheetData>
    <row r="1" spans="2:10" s="102" customFormat="1" ht="27" customHeight="1" x14ac:dyDescent="0.25">
      <c r="B1" s="101">
        <v>1</v>
      </c>
      <c r="C1" s="101">
        <v>3</v>
      </c>
      <c r="D1" s="101"/>
      <c r="E1" s="101">
        <v>4</v>
      </c>
      <c r="F1" s="101"/>
      <c r="G1" s="101"/>
      <c r="H1" s="101">
        <v>5</v>
      </c>
      <c r="I1" s="101">
        <v>6</v>
      </c>
    </row>
    <row r="2" spans="2:10" s="103" customFormat="1" ht="27" customHeight="1" x14ac:dyDescent="0.25">
      <c r="B2" s="151"/>
      <c r="C2" s="151"/>
      <c r="D2" s="151"/>
      <c r="E2" s="152"/>
      <c r="F2" s="151"/>
      <c r="G2" s="151"/>
      <c r="H2" s="153"/>
      <c r="I2" s="151"/>
    </row>
    <row r="3" spans="2:10" ht="27" customHeight="1" x14ac:dyDescent="0.25">
      <c r="B3" s="132" t="s">
        <v>0</v>
      </c>
      <c r="C3" s="132" t="s">
        <v>493</v>
      </c>
      <c r="D3" s="132" t="s">
        <v>458</v>
      </c>
      <c r="E3" s="132" t="s">
        <v>492</v>
      </c>
      <c r="F3" s="181" t="s">
        <v>497</v>
      </c>
      <c r="G3" s="181" t="s">
        <v>99</v>
      </c>
      <c r="H3" s="181" t="s">
        <v>49</v>
      </c>
      <c r="I3"/>
      <c r="J3" s="94"/>
    </row>
    <row r="4" spans="2:10" s="98" customFormat="1" ht="27" customHeight="1" x14ac:dyDescent="0.2">
      <c r="B4" s="146">
        <v>32837</v>
      </c>
      <c r="C4" s="146">
        <f t="shared" ref="C4:C153" ca="1" si="0">TODAY()</f>
        <v>43005</v>
      </c>
      <c r="D4" s="154">
        <f t="shared" ref="D4:D35" ca="1" si="1">INT((C4-B4)/365)</f>
        <v>27</v>
      </c>
      <c r="E4" s="106" t="s">
        <v>495</v>
      </c>
      <c r="F4" s="179">
        <v>71352000</v>
      </c>
      <c r="G4" s="118" t="s">
        <v>151</v>
      </c>
      <c r="H4" s="145" t="s">
        <v>50</v>
      </c>
    </row>
    <row r="5" spans="2:10" s="98" customFormat="1" ht="27" customHeight="1" x14ac:dyDescent="0.2">
      <c r="B5" s="146">
        <v>32437</v>
      </c>
      <c r="C5" s="146">
        <f t="shared" ref="C5:C148" ca="1" si="2">TODAY()</f>
        <v>43005</v>
      </c>
      <c r="D5" s="154">
        <f t="shared" ca="1" si="1"/>
        <v>28</v>
      </c>
      <c r="E5" s="135" t="s">
        <v>495</v>
      </c>
      <c r="F5" s="179">
        <v>200000000</v>
      </c>
      <c r="G5" s="118" t="s">
        <v>174</v>
      </c>
      <c r="H5" s="145" t="s">
        <v>252</v>
      </c>
    </row>
    <row r="6" spans="2:10" s="98" customFormat="1" ht="27" customHeight="1" x14ac:dyDescent="0.2">
      <c r="B6" s="146">
        <v>32497</v>
      </c>
      <c r="C6" s="146">
        <f t="shared" ca="1" si="2"/>
        <v>43005</v>
      </c>
      <c r="D6" s="154">
        <f t="shared" ca="1" si="1"/>
        <v>28</v>
      </c>
      <c r="E6" s="135" t="s">
        <v>495</v>
      </c>
      <c r="F6" s="179">
        <v>85759000</v>
      </c>
      <c r="G6" s="118" t="s">
        <v>460</v>
      </c>
      <c r="H6" s="145" t="s">
        <v>197</v>
      </c>
    </row>
    <row r="7" spans="2:10" s="98" customFormat="1" ht="27" customHeight="1" x14ac:dyDescent="0.2">
      <c r="B7" s="146">
        <v>32123</v>
      </c>
      <c r="C7" s="146">
        <f t="shared" ca="1" si="2"/>
        <v>43005</v>
      </c>
      <c r="D7" s="154">
        <f t="shared" ca="1" si="1"/>
        <v>29</v>
      </c>
      <c r="E7" s="135" t="s">
        <v>495</v>
      </c>
      <c r="F7" s="179">
        <v>69160000</v>
      </c>
      <c r="G7" s="118" t="s">
        <v>257</v>
      </c>
      <c r="H7" s="145" t="s">
        <v>197</v>
      </c>
    </row>
    <row r="8" spans="2:10" s="98" customFormat="1" ht="27" customHeight="1" x14ac:dyDescent="0.2">
      <c r="B8" s="146">
        <v>32290</v>
      </c>
      <c r="C8" s="146">
        <f t="shared" ca="1" si="2"/>
        <v>43005</v>
      </c>
      <c r="D8" s="154">
        <f t="shared" ca="1" si="1"/>
        <v>29</v>
      </c>
      <c r="E8" s="135" t="s">
        <v>495</v>
      </c>
      <c r="F8" s="179">
        <v>120830000</v>
      </c>
      <c r="G8" s="118" t="s">
        <v>260</v>
      </c>
      <c r="H8" s="145" t="s">
        <v>251</v>
      </c>
    </row>
    <row r="9" spans="2:10" s="98" customFormat="1" ht="27" customHeight="1" x14ac:dyDescent="0.2">
      <c r="B9" s="146">
        <v>32107</v>
      </c>
      <c r="C9" s="146">
        <f t="shared" ca="1" si="2"/>
        <v>43005</v>
      </c>
      <c r="D9" s="154">
        <f t="shared" ca="1" si="1"/>
        <v>29</v>
      </c>
      <c r="E9" s="135" t="s">
        <v>495</v>
      </c>
      <c r="F9" s="179">
        <v>90081300</v>
      </c>
      <c r="G9" s="118" t="s">
        <v>476</v>
      </c>
      <c r="H9" s="145" t="s">
        <v>226</v>
      </c>
    </row>
    <row r="10" spans="2:10" s="98" customFormat="1" ht="27" customHeight="1" x14ac:dyDescent="0.2">
      <c r="B10" s="146">
        <v>31728</v>
      </c>
      <c r="C10" s="146">
        <f t="shared" ca="1" si="2"/>
        <v>43005</v>
      </c>
      <c r="D10" s="154">
        <f t="shared" ca="1" si="1"/>
        <v>30</v>
      </c>
      <c r="E10" s="135" t="s">
        <v>495</v>
      </c>
      <c r="F10" s="179">
        <v>162496000</v>
      </c>
      <c r="G10" s="118" t="s">
        <v>464</v>
      </c>
      <c r="H10" s="145" t="s">
        <v>50</v>
      </c>
    </row>
    <row r="11" spans="2:10" s="98" customFormat="1" ht="27" customHeight="1" x14ac:dyDescent="0.2">
      <c r="B11" s="108">
        <v>32001</v>
      </c>
      <c r="C11" s="146">
        <f t="shared" ca="1" si="0"/>
        <v>43005</v>
      </c>
      <c r="D11" s="154">
        <f t="shared" ca="1" si="1"/>
        <v>30</v>
      </c>
      <c r="E11" s="145" t="s">
        <v>495</v>
      </c>
      <c r="F11" s="179">
        <v>206405000</v>
      </c>
      <c r="G11" s="144" t="s">
        <v>160</v>
      </c>
      <c r="H11" s="145" t="s">
        <v>250</v>
      </c>
    </row>
    <row r="12" spans="2:10" s="95" customFormat="1" ht="27" customHeight="1" x14ac:dyDescent="0.2">
      <c r="B12" s="147">
        <v>31705</v>
      </c>
      <c r="C12" s="146">
        <f t="shared" ca="1" si="2"/>
        <v>43005</v>
      </c>
      <c r="D12" s="154">
        <f t="shared" ca="1" si="1"/>
        <v>30</v>
      </c>
      <c r="E12" s="148" t="s">
        <v>495</v>
      </c>
      <c r="F12" s="180">
        <v>240420000</v>
      </c>
      <c r="G12" s="117" t="s">
        <v>181</v>
      </c>
      <c r="H12" s="158" t="s">
        <v>251</v>
      </c>
    </row>
    <row r="13" spans="2:10" s="98" customFormat="1" ht="27" customHeight="1" x14ac:dyDescent="0.2">
      <c r="B13" s="146">
        <v>31794</v>
      </c>
      <c r="C13" s="146">
        <f t="shared" ca="1" si="2"/>
        <v>43005</v>
      </c>
      <c r="D13" s="154">
        <f t="shared" ca="1" si="1"/>
        <v>30</v>
      </c>
      <c r="E13" s="135" t="s">
        <v>494</v>
      </c>
      <c r="F13" s="179">
        <v>86987203</v>
      </c>
      <c r="G13" s="118" t="s">
        <v>262</v>
      </c>
      <c r="H13" s="145" t="s">
        <v>263</v>
      </c>
    </row>
    <row r="14" spans="2:10" s="98" customFormat="1" ht="27" customHeight="1" x14ac:dyDescent="0.2">
      <c r="B14" s="146">
        <v>31910</v>
      </c>
      <c r="C14" s="146">
        <f t="shared" ca="1" si="2"/>
        <v>43005</v>
      </c>
      <c r="D14" s="154">
        <f t="shared" ca="1" si="1"/>
        <v>30</v>
      </c>
      <c r="E14" s="135" t="s">
        <v>494</v>
      </c>
      <c r="F14" s="179">
        <v>288016000</v>
      </c>
      <c r="G14" s="118" t="s">
        <v>265</v>
      </c>
      <c r="H14" s="145" t="s">
        <v>251</v>
      </c>
    </row>
    <row r="15" spans="2:10" s="98" customFormat="1" ht="27" customHeight="1" x14ac:dyDescent="0.2">
      <c r="B15" s="146">
        <v>31448</v>
      </c>
      <c r="C15" s="146">
        <f t="shared" ca="1" si="0"/>
        <v>43005</v>
      </c>
      <c r="D15" s="154">
        <f t="shared" ca="1" si="1"/>
        <v>31</v>
      </c>
      <c r="E15" s="135" t="s">
        <v>494</v>
      </c>
      <c r="F15" s="179">
        <v>147000000</v>
      </c>
      <c r="G15" s="118" t="s">
        <v>172</v>
      </c>
      <c r="H15" s="145" t="s">
        <v>226</v>
      </c>
    </row>
    <row r="16" spans="2:10" s="98" customFormat="1" ht="27" customHeight="1" x14ac:dyDescent="0.2">
      <c r="B16" s="108">
        <v>31238</v>
      </c>
      <c r="C16" s="146">
        <f t="shared" ca="1" si="0"/>
        <v>43005</v>
      </c>
      <c r="D16" s="154">
        <f t="shared" ca="1" si="1"/>
        <v>32</v>
      </c>
      <c r="E16" s="145" t="s">
        <v>495</v>
      </c>
      <c r="F16" s="179">
        <v>193700000</v>
      </c>
      <c r="G16" s="118" t="s">
        <v>170</v>
      </c>
      <c r="H16" s="145" t="s">
        <v>250</v>
      </c>
    </row>
    <row r="17" spans="2:8" s="98" customFormat="1" ht="27" customHeight="1" x14ac:dyDescent="0.2">
      <c r="B17" s="146">
        <v>31263</v>
      </c>
      <c r="C17" s="146">
        <f t="shared" ca="1" si="0"/>
        <v>43005</v>
      </c>
      <c r="D17" s="154">
        <f t="shared" ca="1" si="1"/>
        <v>32</v>
      </c>
      <c r="E17" s="135" t="s">
        <v>495</v>
      </c>
      <c r="F17" s="179">
        <v>288480000</v>
      </c>
      <c r="G17" s="118" t="s">
        <v>171</v>
      </c>
      <c r="H17" s="145" t="s">
        <v>250</v>
      </c>
    </row>
    <row r="18" spans="2:8" s="95" customFormat="1" ht="27" customHeight="1" x14ac:dyDescent="0.2">
      <c r="B18" s="146">
        <v>31237</v>
      </c>
      <c r="C18" s="146">
        <f t="shared" ref="C18:C159" ca="1" si="3">TODAY()</f>
        <v>43005</v>
      </c>
      <c r="D18" s="154">
        <f t="shared" ca="1" si="1"/>
        <v>32</v>
      </c>
      <c r="E18" s="106" t="s">
        <v>495</v>
      </c>
      <c r="F18" s="179">
        <v>94136000</v>
      </c>
      <c r="G18" s="155" t="s">
        <v>106</v>
      </c>
      <c r="H18" s="145" t="s">
        <v>50</v>
      </c>
    </row>
    <row r="19" spans="2:8" s="95" customFormat="1" ht="27" customHeight="1" x14ac:dyDescent="0.2">
      <c r="B19" s="146">
        <v>31168</v>
      </c>
      <c r="C19" s="146">
        <f t="shared" ca="1" si="3"/>
        <v>43005</v>
      </c>
      <c r="D19" s="154">
        <f t="shared" ca="1" si="1"/>
        <v>32</v>
      </c>
      <c r="E19" s="145" t="s">
        <v>495</v>
      </c>
      <c r="F19" s="179">
        <v>55136447</v>
      </c>
      <c r="G19" s="118" t="s">
        <v>208</v>
      </c>
      <c r="H19" s="145" t="s">
        <v>50</v>
      </c>
    </row>
    <row r="20" spans="2:8" s="98" customFormat="1" ht="27" customHeight="1" x14ac:dyDescent="0.2">
      <c r="B20" s="108">
        <v>31220</v>
      </c>
      <c r="C20" s="146">
        <f t="shared" ca="1" si="0"/>
        <v>43005</v>
      </c>
      <c r="D20" s="154">
        <f t="shared" ca="1" si="1"/>
        <v>32</v>
      </c>
      <c r="E20" s="145" t="s">
        <v>495</v>
      </c>
      <c r="F20" s="179">
        <v>385428000</v>
      </c>
      <c r="G20" s="118" t="s">
        <v>162</v>
      </c>
      <c r="H20" s="145" t="s">
        <v>250</v>
      </c>
    </row>
    <row r="21" spans="2:8" s="98" customFormat="1" ht="27" customHeight="1" x14ac:dyDescent="0.2">
      <c r="B21" s="108">
        <v>31195</v>
      </c>
      <c r="C21" s="146">
        <f t="shared" ca="1" si="0"/>
        <v>43005</v>
      </c>
      <c r="D21" s="154">
        <f t="shared" ca="1" si="1"/>
        <v>32</v>
      </c>
      <c r="E21" s="145" t="s">
        <v>494</v>
      </c>
      <c r="F21" s="179">
        <v>127040000</v>
      </c>
      <c r="G21" s="118" t="s">
        <v>168</v>
      </c>
      <c r="H21" s="145" t="s">
        <v>226</v>
      </c>
    </row>
    <row r="22" spans="2:8" s="98" customFormat="1" ht="27" customHeight="1" x14ac:dyDescent="0.2">
      <c r="B22" s="146">
        <v>30958</v>
      </c>
      <c r="C22" s="146">
        <f t="shared" ca="1" si="2"/>
        <v>43005</v>
      </c>
      <c r="D22" s="154">
        <f t="shared" ca="1" si="1"/>
        <v>33</v>
      </c>
      <c r="E22" s="135" t="s">
        <v>495</v>
      </c>
      <c r="F22" s="179">
        <v>120000000</v>
      </c>
      <c r="G22" s="118" t="s">
        <v>261</v>
      </c>
      <c r="H22" s="145" t="s">
        <v>251</v>
      </c>
    </row>
    <row r="23" spans="2:8" s="98" customFormat="1" ht="27" customHeight="1" x14ac:dyDescent="0.2">
      <c r="B23" s="146">
        <v>30803</v>
      </c>
      <c r="C23" s="146">
        <f t="shared" ca="1" si="2"/>
        <v>43005</v>
      </c>
      <c r="D23" s="154">
        <f t="shared" ca="1" si="1"/>
        <v>33</v>
      </c>
      <c r="E23" s="135" t="s">
        <v>494</v>
      </c>
      <c r="F23" s="179">
        <v>241628000</v>
      </c>
      <c r="G23" s="118" t="s">
        <v>259</v>
      </c>
      <c r="H23" s="145" t="s">
        <v>251</v>
      </c>
    </row>
    <row r="24" spans="2:8" s="95" customFormat="1" ht="27" customHeight="1" x14ac:dyDescent="0.2">
      <c r="B24" s="146">
        <v>30771</v>
      </c>
      <c r="C24" s="146">
        <f t="shared" ca="1" si="0"/>
        <v>43005</v>
      </c>
      <c r="D24" s="154">
        <f t="shared" ca="1" si="1"/>
        <v>33</v>
      </c>
      <c r="E24" s="106" t="s">
        <v>494</v>
      </c>
      <c r="F24" s="179">
        <v>84446000</v>
      </c>
      <c r="G24" s="144" t="s">
        <v>248</v>
      </c>
      <c r="H24" s="145" t="s">
        <v>50</v>
      </c>
    </row>
    <row r="25" spans="2:8" s="98" customFormat="1" ht="27" customHeight="1" x14ac:dyDescent="0.2">
      <c r="B25" s="146">
        <v>30743</v>
      </c>
      <c r="C25" s="146">
        <f t="shared" ca="1" si="2"/>
        <v>43005</v>
      </c>
      <c r="D25" s="154">
        <f t="shared" ca="1" si="1"/>
        <v>33</v>
      </c>
      <c r="E25" s="135" t="s">
        <v>494</v>
      </c>
      <c r="F25" s="179">
        <v>167210000</v>
      </c>
      <c r="G25" s="160" t="s">
        <v>483</v>
      </c>
      <c r="H25" s="145" t="s">
        <v>50</v>
      </c>
    </row>
    <row r="26" spans="2:8" s="95" customFormat="1" ht="27" customHeight="1" x14ac:dyDescent="0.2">
      <c r="B26" s="146">
        <v>30438</v>
      </c>
      <c r="C26" s="146">
        <f t="shared" ca="1" si="3"/>
        <v>43005</v>
      </c>
      <c r="D26" s="154">
        <f t="shared" ca="1" si="1"/>
        <v>34</v>
      </c>
      <c r="E26" s="106" t="s">
        <v>495</v>
      </c>
      <c r="F26" s="179">
        <v>228440000</v>
      </c>
      <c r="G26" s="118" t="s">
        <v>228</v>
      </c>
      <c r="H26" s="145" t="s">
        <v>50</v>
      </c>
    </row>
    <row r="27" spans="2:8" s="95" customFormat="1" ht="27" customHeight="1" x14ac:dyDescent="0.2">
      <c r="B27" s="146">
        <v>30418</v>
      </c>
      <c r="C27" s="146">
        <f t="shared" ca="1" si="3"/>
        <v>43005</v>
      </c>
      <c r="D27" s="154">
        <f t="shared" ca="1" si="1"/>
        <v>34</v>
      </c>
      <c r="E27" s="106" t="s">
        <v>495</v>
      </c>
      <c r="F27" s="179">
        <v>144322000</v>
      </c>
      <c r="G27" s="118" t="s">
        <v>131</v>
      </c>
      <c r="H27" s="145" t="s">
        <v>50</v>
      </c>
    </row>
    <row r="28" spans="2:8" s="95" customFormat="1" ht="27" customHeight="1" x14ac:dyDescent="0.2">
      <c r="B28" s="146">
        <v>30411</v>
      </c>
      <c r="C28" s="146">
        <f t="shared" ca="1" si="3"/>
        <v>43005</v>
      </c>
      <c r="D28" s="154">
        <f t="shared" ca="1" si="1"/>
        <v>34</v>
      </c>
      <c r="E28" s="106" t="s">
        <v>495</v>
      </c>
      <c r="F28" s="179">
        <v>80224000</v>
      </c>
      <c r="G28" s="144" t="s">
        <v>229</v>
      </c>
      <c r="H28" s="145" t="s">
        <v>50</v>
      </c>
    </row>
    <row r="29" spans="2:8" s="98" customFormat="1" ht="27" customHeight="1" x14ac:dyDescent="0.2">
      <c r="B29" s="108">
        <v>29990</v>
      </c>
      <c r="C29" s="146">
        <f t="shared" ca="1" si="0"/>
        <v>43005</v>
      </c>
      <c r="D29" s="154">
        <f t="shared" ca="1" si="1"/>
        <v>35</v>
      </c>
      <c r="E29" s="145" t="s">
        <v>495</v>
      </c>
      <c r="F29" s="179">
        <v>188190000</v>
      </c>
      <c r="G29" s="144" t="s">
        <v>157</v>
      </c>
      <c r="H29" s="145" t="s">
        <v>250</v>
      </c>
    </row>
    <row r="30" spans="2:8" s="98" customFormat="1" ht="27" customHeight="1" x14ac:dyDescent="0.2">
      <c r="B30" s="146">
        <v>30026</v>
      </c>
      <c r="C30" s="146">
        <f t="shared" ca="1" si="0"/>
        <v>43005</v>
      </c>
      <c r="D30" s="154">
        <f t="shared" ca="1" si="1"/>
        <v>35</v>
      </c>
      <c r="E30" s="135" t="s">
        <v>495</v>
      </c>
      <c r="F30" s="179">
        <v>276960000</v>
      </c>
      <c r="G30" s="118" t="s">
        <v>175</v>
      </c>
      <c r="H30" s="145" t="s">
        <v>251</v>
      </c>
    </row>
    <row r="31" spans="2:8" s="98" customFormat="1" ht="27" customHeight="1" x14ac:dyDescent="0.2">
      <c r="B31" s="146">
        <v>29908</v>
      </c>
      <c r="C31" s="146">
        <f t="shared" ca="1" si="2"/>
        <v>43005</v>
      </c>
      <c r="D31" s="154">
        <f t="shared" ca="1" si="1"/>
        <v>35</v>
      </c>
      <c r="E31" s="135" t="s">
        <v>495</v>
      </c>
      <c r="F31" s="179">
        <v>776150000</v>
      </c>
      <c r="G31" s="118" t="s">
        <v>254</v>
      </c>
      <c r="H31" s="145" t="s">
        <v>251</v>
      </c>
    </row>
    <row r="32" spans="2:8" s="98" customFormat="1" ht="27" customHeight="1" x14ac:dyDescent="0.2">
      <c r="B32" s="146">
        <v>29809</v>
      </c>
      <c r="C32" s="146">
        <f t="shared" ca="1" si="0"/>
        <v>43005</v>
      </c>
      <c r="D32" s="154">
        <f t="shared" ca="1" si="1"/>
        <v>36</v>
      </c>
      <c r="E32" s="135" t="s">
        <v>494</v>
      </c>
      <c r="F32" s="179">
        <v>171476000</v>
      </c>
      <c r="G32" s="118" t="s">
        <v>173</v>
      </c>
      <c r="H32" s="145" t="s">
        <v>209</v>
      </c>
    </row>
    <row r="33" spans="2:8" s="95" customFormat="1" ht="27" customHeight="1" x14ac:dyDescent="0.2">
      <c r="B33" s="146">
        <v>29721</v>
      </c>
      <c r="C33" s="146">
        <f t="shared" ca="1" si="3"/>
        <v>43005</v>
      </c>
      <c r="D33" s="154">
        <f t="shared" ca="1" si="1"/>
        <v>36</v>
      </c>
      <c r="E33" s="106" t="s">
        <v>495</v>
      </c>
      <c r="F33" s="179">
        <v>375425000</v>
      </c>
      <c r="G33" s="118" t="s">
        <v>227</v>
      </c>
      <c r="H33" s="145" t="s">
        <v>50</v>
      </c>
    </row>
    <row r="34" spans="2:8" s="95" customFormat="1" ht="27" customHeight="1" x14ac:dyDescent="0.2">
      <c r="B34" s="146">
        <v>29623</v>
      </c>
      <c r="C34" s="146">
        <f t="shared" ca="1" si="3"/>
        <v>43005</v>
      </c>
      <c r="D34" s="154">
        <f t="shared" ca="1" si="1"/>
        <v>36</v>
      </c>
      <c r="E34" s="106" t="s">
        <v>495</v>
      </c>
      <c r="F34" s="179">
        <v>288823000</v>
      </c>
      <c r="G34" s="144" t="s">
        <v>130</v>
      </c>
      <c r="H34" s="145" t="s">
        <v>50</v>
      </c>
    </row>
    <row r="35" spans="2:8" s="95" customFormat="1" ht="27" customHeight="1" x14ac:dyDescent="0.2">
      <c r="B35" s="146">
        <v>29567</v>
      </c>
      <c r="C35" s="146">
        <f t="shared" ca="1" si="0"/>
        <v>43005</v>
      </c>
      <c r="D35" s="154">
        <f t="shared" ca="1" si="1"/>
        <v>36</v>
      </c>
      <c r="E35" s="106" t="s">
        <v>494</v>
      </c>
      <c r="F35" s="179">
        <v>82277000</v>
      </c>
      <c r="G35" s="144" t="s">
        <v>148</v>
      </c>
      <c r="H35" s="145" t="s">
        <v>50</v>
      </c>
    </row>
    <row r="36" spans="2:8" s="98" customFormat="1" ht="27" customHeight="1" x14ac:dyDescent="0.2">
      <c r="B36" s="108">
        <v>29568</v>
      </c>
      <c r="C36" s="146">
        <f t="shared" ca="1" si="0"/>
        <v>43005</v>
      </c>
      <c r="D36" s="154">
        <f t="shared" ref="D36:D67" ca="1" si="4">INT((C36-B36)/365)</f>
        <v>36</v>
      </c>
      <c r="E36" s="135" t="s">
        <v>494</v>
      </c>
      <c r="F36" s="179">
        <v>315189000</v>
      </c>
      <c r="G36" s="157" t="s">
        <v>153</v>
      </c>
      <c r="H36" s="135" t="s">
        <v>250</v>
      </c>
    </row>
    <row r="37" spans="2:8" s="98" customFormat="1" ht="27" customHeight="1" x14ac:dyDescent="0.2">
      <c r="B37" s="107">
        <v>29777</v>
      </c>
      <c r="C37" s="146">
        <f t="shared" ca="1" si="0"/>
        <v>43005</v>
      </c>
      <c r="D37" s="154">
        <f t="shared" ca="1" si="4"/>
        <v>36</v>
      </c>
      <c r="E37" s="145" t="s">
        <v>494</v>
      </c>
      <c r="F37" s="179">
        <v>332534000</v>
      </c>
      <c r="G37" s="144" t="s">
        <v>159</v>
      </c>
      <c r="H37" s="145" t="s">
        <v>250</v>
      </c>
    </row>
    <row r="38" spans="2:8" s="98" customFormat="1" ht="27" customHeight="1" x14ac:dyDescent="0.2">
      <c r="B38" s="146">
        <v>29729</v>
      </c>
      <c r="C38" s="146">
        <f t="shared" ca="1" si="2"/>
        <v>43005</v>
      </c>
      <c r="D38" s="154">
        <f t="shared" ca="1" si="4"/>
        <v>36</v>
      </c>
      <c r="E38" s="135" t="s">
        <v>494</v>
      </c>
      <c r="F38" s="179">
        <v>327926000</v>
      </c>
      <c r="G38" s="118" t="s">
        <v>258</v>
      </c>
      <c r="H38" s="145" t="s">
        <v>251</v>
      </c>
    </row>
    <row r="39" spans="2:8" s="98" customFormat="1" ht="27" customHeight="1" x14ac:dyDescent="0.2">
      <c r="B39" s="146">
        <v>29580</v>
      </c>
      <c r="C39" s="146">
        <f t="shared" ca="1" si="2"/>
        <v>43005</v>
      </c>
      <c r="D39" s="154">
        <f t="shared" ca="1" si="4"/>
        <v>36</v>
      </c>
      <c r="E39" s="135" t="s">
        <v>494</v>
      </c>
      <c r="F39" s="179">
        <v>318934000</v>
      </c>
      <c r="G39" s="118" t="s">
        <v>465</v>
      </c>
      <c r="H39" s="145" t="s">
        <v>50</v>
      </c>
    </row>
    <row r="40" spans="2:8" s="98" customFormat="1" ht="27" customHeight="1" x14ac:dyDescent="0.2">
      <c r="B40" s="146">
        <v>29678</v>
      </c>
      <c r="C40" s="146">
        <f t="shared" ca="1" si="2"/>
        <v>43005</v>
      </c>
      <c r="D40" s="154">
        <f t="shared" ca="1" si="4"/>
        <v>36</v>
      </c>
      <c r="E40" s="135" t="s">
        <v>494</v>
      </c>
      <c r="F40" s="179">
        <v>317050500</v>
      </c>
      <c r="G40" s="118" t="s">
        <v>468</v>
      </c>
      <c r="H40" s="145" t="s">
        <v>50</v>
      </c>
    </row>
    <row r="41" spans="2:8" s="98" customFormat="1" ht="27" customHeight="1" x14ac:dyDescent="0.2">
      <c r="B41" s="146">
        <v>29679</v>
      </c>
      <c r="C41" s="146">
        <f t="shared" ca="1" si="2"/>
        <v>43005</v>
      </c>
      <c r="D41" s="154">
        <f t="shared" ca="1" si="4"/>
        <v>36</v>
      </c>
      <c r="E41" s="135" t="s">
        <v>494</v>
      </c>
      <c r="F41" s="179">
        <v>355187500</v>
      </c>
      <c r="G41" s="118" t="s">
        <v>472</v>
      </c>
      <c r="H41" s="145" t="s">
        <v>50</v>
      </c>
    </row>
    <row r="42" spans="2:8" s="95" customFormat="1" ht="27" customHeight="1" x14ac:dyDescent="0.2">
      <c r="B42" s="146">
        <v>29282</v>
      </c>
      <c r="C42" s="146">
        <f t="shared" ca="1" si="3"/>
        <v>43005</v>
      </c>
      <c r="D42" s="154">
        <f t="shared" ca="1" si="4"/>
        <v>37</v>
      </c>
      <c r="E42" s="106" t="s">
        <v>495</v>
      </c>
      <c r="F42" s="179">
        <v>280490000</v>
      </c>
      <c r="G42" s="155" t="s">
        <v>202</v>
      </c>
      <c r="H42" s="145" t="s">
        <v>50</v>
      </c>
    </row>
    <row r="43" spans="2:8" s="95" customFormat="1" ht="27" customHeight="1" x14ac:dyDescent="0.2">
      <c r="B43" s="146">
        <v>29170</v>
      </c>
      <c r="C43" s="146">
        <f t="shared" ca="1" si="3"/>
        <v>43005</v>
      </c>
      <c r="D43" s="154">
        <f t="shared" ca="1" si="4"/>
        <v>37</v>
      </c>
      <c r="E43" s="106" t="s">
        <v>495</v>
      </c>
      <c r="F43" s="179">
        <v>267160000</v>
      </c>
      <c r="G43" s="144" t="s">
        <v>200</v>
      </c>
      <c r="H43" s="145" t="s">
        <v>50</v>
      </c>
    </row>
    <row r="44" spans="2:8" s="95" customFormat="1" ht="27" customHeight="1" x14ac:dyDescent="0.2">
      <c r="B44" s="146">
        <v>29150</v>
      </c>
      <c r="C44" s="146">
        <f t="shared" ca="1" si="0"/>
        <v>43005</v>
      </c>
      <c r="D44" s="154">
        <f t="shared" ca="1" si="4"/>
        <v>37</v>
      </c>
      <c r="E44" s="106" t="s">
        <v>494</v>
      </c>
      <c r="F44" s="179">
        <v>60000000</v>
      </c>
      <c r="G44" s="144" t="s">
        <v>246</v>
      </c>
      <c r="H44" s="145" t="s">
        <v>50</v>
      </c>
    </row>
    <row r="45" spans="2:8" s="95" customFormat="1" ht="27" customHeight="1" x14ac:dyDescent="0.2">
      <c r="B45" s="146">
        <v>29217</v>
      </c>
      <c r="C45" s="146">
        <f t="shared" ca="1" si="0"/>
        <v>43005</v>
      </c>
      <c r="D45" s="154">
        <f t="shared" ca="1" si="4"/>
        <v>37</v>
      </c>
      <c r="E45" s="106" t="s">
        <v>494</v>
      </c>
      <c r="F45" s="179">
        <v>138360000</v>
      </c>
      <c r="G45" s="155" t="s">
        <v>247</v>
      </c>
      <c r="H45" s="145" t="s">
        <v>50</v>
      </c>
    </row>
    <row r="46" spans="2:8" s="98" customFormat="1" ht="27" customHeight="1" x14ac:dyDescent="0.2">
      <c r="B46" s="146">
        <v>29440</v>
      </c>
      <c r="C46" s="146">
        <f t="shared" ca="1" si="2"/>
        <v>43005</v>
      </c>
      <c r="D46" s="154">
        <f t="shared" ca="1" si="4"/>
        <v>37</v>
      </c>
      <c r="E46" s="135" t="s">
        <v>495</v>
      </c>
      <c r="F46" s="179">
        <v>201951000</v>
      </c>
      <c r="G46" s="118" t="s">
        <v>184</v>
      </c>
      <c r="H46" s="145" t="s">
        <v>251</v>
      </c>
    </row>
    <row r="47" spans="2:8" s="95" customFormat="1" ht="27" customHeight="1" x14ac:dyDescent="0.2">
      <c r="B47" s="146">
        <v>28829</v>
      </c>
      <c r="C47" s="146">
        <f t="shared" ca="1" si="0"/>
        <v>43005</v>
      </c>
      <c r="D47" s="154">
        <f t="shared" ca="1" si="4"/>
        <v>38</v>
      </c>
      <c r="E47" s="106" t="s">
        <v>494</v>
      </c>
      <c r="F47" s="179">
        <v>306470000</v>
      </c>
      <c r="G47" s="144" t="s">
        <v>134</v>
      </c>
      <c r="H47" s="145" t="s">
        <v>50</v>
      </c>
    </row>
    <row r="48" spans="2:8" s="95" customFormat="1" ht="27" customHeight="1" x14ac:dyDescent="0.2">
      <c r="B48" s="146">
        <v>28880</v>
      </c>
      <c r="C48" s="146">
        <f t="shared" ca="1" si="3"/>
        <v>43005</v>
      </c>
      <c r="D48" s="154">
        <f t="shared" ca="1" si="4"/>
        <v>38</v>
      </c>
      <c r="E48" s="106" t="s">
        <v>495</v>
      </c>
      <c r="F48" s="179">
        <v>102547000</v>
      </c>
      <c r="G48" s="155" t="s">
        <v>114</v>
      </c>
      <c r="H48" s="145" t="s">
        <v>50</v>
      </c>
    </row>
    <row r="49" spans="2:8" s="95" customFormat="1" ht="27" customHeight="1" x14ac:dyDescent="0.2">
      <c r="B49" s="146">
        <v>29111</v>
      </c>
      <c r="C49" s="146">
        <f t="shared" ca="1" si="3"/>
        <v>43005</v>
      </c>
      <c r="D49" s="154">
        <f t="shared" ca="1" si="4"/>
        <v>38</v>
      </c>
      <c r="E49" s="106" t="s">
        <v>495</v>
      </c>
      <c r="F49" s="179">
        <v>348000000</v>
      </c>
      <c r="G49" s="118" t="s">
        <v>129</v>
      </c>
      <c r="H49" s="145" t="s">
        <v>50</v>
      </c>
    </row>
    <row r="50" spans="2:8" s="95" customFormat="1" ht="27" customHeight="1" x14ac:dyDescent="0.2">
      <c r="B50" s="146">
        <v>29078</v>
      </c>
      <c r="C50" s="146">
        <f t="shared" ca="1" si="0"/>
        <v>43005</v>
      </c>
      <c r="D50" s="154">
        <f t="shared" ca="1" si="4"/>
        <v>38</v>
      </c>
      <c r="E50" s="106" t="s">
        <v>494</v>
      </c>
      <c r="F50" s="179">
        <v>304500000</v>
      </c>
      <c r="G50" s="144" t="s">
        <v>147</v>
      </c>
      <c r="H50" s="145" t="s">
        <v>50</v>
      </c>
    </row>
    <row r="51" spans="2:8" s="95" customFormat="1" ht="27" customHeight="1" x14ac:dyDescent="0.2">
      <c r="B51" s="146">
        <v>29119</v>
      </c>
      <c r="C51" s="146">
        <f t="shared" ca="1" si="0"/>
        <v>43005</v>
      </c>
      <c r="D51" s="154">
        <f t="shared" ca="1" si="4"/>
        <v>38</v>
      </c>
      <c r="E51" s="106" t="s">
        <v>494</v>
      </c>
      <c r="F51" s="179">
        <v>227227000</v>
      </c>
      <c r="G51" s="144" t="s">
        <v>245</v>
      </c>
      <c r="H51" s="145" t="s">
        <v>50</v>
      </c>
    </row>
    <row r="52" spans="2:8" s="98" customFormat="1" ht="27" customHeight="1" x14ac:dyDescent="0.2">
      <c r="B52" s="146">
        <v>29081</v>
      </c>
      <c r="C52" s="146">
        <f t="shared" ca="1" si="2"/>
        <v>43005</v>
      </c>
      <c r="D52" s="154">
        <f t="shared" ca="1" si="4"/>
        <v>38</v>
      </c>
      <c r="E52" s="135" t="s">
        <v>494</v>
      </c>
      <c r="F52" s="179">
        <v>523152500</v>
      </c>
      <c r="G52" s="118" t="s">
        <v>264</v>
      </c>
      <c r="H52" s="145" t="s">
        <v>251</v>
      </c>
    </row>
    <row r="53" spans="2:8" s="95" customFormat="1" ht="27" customHeight="1" x14ac:dyDescent="0.2">
      <c r="B53" s="146">
        <v>28458</v>
      </c>
      <c r="C53" s="146">
        <f t="shared" ca="1" si="3"/>
        <v>43005</v>
      </c>
      <c r="D53" s="154">
        <f t="shared" ca="1" si="4"/>
        <v>39</v>
      </c>
      <c r="E53" s="106" t="s">
        <v>494</v>
      </c>
      <c r="F53" s="179">
        <v>98753500</v>
      </c>
      <c r="G53" s="118" t="s">
        <v>100</v>
      </c>
      <c r="H53" s="145" t="s">
        <v>189</v>
      </c>
    </row>
    <row r="54" spans="2:8" s="95" customFormat="1" ht="27" customHeight="1" x14ac:dyDescent="0.2">
      <c r="B54" s="146">
        <v>28563</v>
      </c>
      <c r="C54" s="146">
        <f t="shared" ca="1" si="3"/>
        <v>43005</v>
      </c>
      <c r="D54" s="154">
        <f t="shared" ca="1" si="4"/>
        <v>39</v>
      </c>
      <c r="E54" s="106" t="s">
        <v>495</v>
      </c>
      <c r="F54" s="179">
        <v>94687000</v>
      </c>
      <c r="G54" s="144" t="s">
        <v>196</v>
      </c>
      <c r="H54" s="145" t="s">
        <v>197</v>
      </c>
    </row>
    <row r="55" spans="2:8" s="95" customFormat="1" ht="27" customHeight="1" x14ac:dyDescent="0.2">
      <c r="B55" s="146">
        <v>28512</v>
      </c>
      <c r="C55" s="146">
        <f t="shared" ca="1" si="3"/>
        <v>43005</v>
      </c>
      <c r="D55" s="154">
        <f t="shared" ca="1" si="4"/>
        <v>39</v>
      </c>
      <c r="E55" s="106" t="s">
        <v>495</v>
      </c>
      <c r="F55" s="179">
        <v>72608000</v>
      </c>
      <c r="G55" s="118" t="s">
        <v>126</v>
      </c>
      <c r="H55" s="145" t="s">
        <v>50</v>
      </c>
    </row>
    <row r="56" spans="2:8" s="95" customFormat="1" ht="27" customHeight="1" x14ac:dyDescent="0.2">
      <c r="B56" s="146">
        <v>28608</v>
      </c>
      <c r="C56" s="146">
        <f t="shared" ca="1" si="0"/>
        <v>43005</v>
      </c>
      <c r="D56" s="154">
        <f t="shared" ca="1" si="4"/>
        <v>39</v>
      </c>
      <c r="E56" s="106" t="s">
        <v>494</v>
      </c>
      <c r="F56" s="179">
        <v>180000000</v>
      </c>
      <c r="G56" s="144" t="s">
        <v>241</v>
      </c>
      <c r="H56" s="145" t="s">
        <v>50</v>
      </c>
    </row>
    <row r="57" spans="2:8" s="95" customFormat="1" ht="27" customHeight="1" x14ac:dyDescent="0.2">
      <c r="B57" s="146">
        <v>28457</v>
      </c>
      <c r="C57" s="146">
        <f t="shared" ca="1" si="0"/>
        <v>43005</v>
      </c>
      <c r="D57" s="154">
        <f t="shared" ca="1" si="4"/>
        <v>39</v>
      </c>
      <c r="E57" s="106" t="s">
        <v>494</v>
      </c>
      <c r="F57" s="179">
        <v>449640500</v>
      </c>
      <c r="G57" s="155" t="s">
        <v>244</v>
      </c>
      <c r="H57" s="145" t="s">
        <v>50</v>
      </c>
    </row>
    <row r="58" spans="2:8" s="98" customFormat="1" ht="27" customHeight="1" x14ac:dyDescent="0.2">
      <c r="B58" s="107">
        <v>28592</v>
      </c>
      <c r="C58" s="146">
        <f t="shared" ca="1" si="0"/>
        <v>43005</v>
      </c>
      <c r="D58" s="154">
        <f t="shared" ca="1" si="4"/>
        <v>39</v>
      </c>
      <c r="E58" s="135" t="s">
        <v>495</v>
      </c>
      <c r="F58" s="179">
        <v>557269000</v>
      </c>
      <c r="G58" s="118" t="s">
        <v>156</v>
      </c>
      <c r="H58" s="145" t="s">
        <v>209</v>
      </c>
    </row>
    <row r="59" spans="2:8" s="95" customFormat="1" ht="27" customHeight="1" x14ac:dyDescent="0.2">
      <c r="B59" s="146">
        <v>28141</v>
      </c>
      <c r="C59" s="146">
        <f t="shared" ca="1" si="0"/>
        <v>43005</v>
      </c>
      <c r="D59" s="154">
        <f t="shared" ca="1" si="4"/>
        <v>40</v>
      </c>
      <c r="E59" s="106" t="s">
        <v>494</v>
      </c>
      <c r="F59" s="179">
        <v>107400000</v>
      </c>
      <c r="G59" s="144" t="s">
        <v>242</v>
      </c>
      <c r="H59" s="145" t="s">
        <v>50</v>
      </c>
    </row>
    <row r="60" spans="2:8" s="98" customFormat="1" ht="27" customHeight="1" x14ac:dyDescent="0.2">
      <c r="B60" s="107">
        <v>28307</v>
      </c>
      <c r="C60" s="146">
        <f t="shared" ca="1" si="0"/>
        <v>43005</v>
      </c>
      <c r="D60" s="154">
        <f t="shared" ca="1" si="4"/>
        <v>40</v>
      </c>
      <c r="E60" s="135" t="s">
        <v>495</v>
      </c>
      <c r="F60" s="179">
        <v>161386000</v>
      </c>
      <c r="G60" s="118" t="s">
        <v>155</v>
      </c>
      <c r="H60" s="145" t="s">
        <v>250</v>
      </c>
    </row>
    <row r="61" spans="2:8" s="98" customFormat="1" ht="27" customHeight="1" x14ac:dyDescent="0.2">
      <c r="B61" s="108">
        <v>28104</v>
      </c>
      <c r="C61" s="146">
        <f t="shared" ca="1" si="0"/>
        <v>43005</v>
      </c>
      <c r="D61" s="154">
        <f t="shared" ca="1" si="4"/>
        <v>40</v>
      </c>
      <c r="E61" s="145" t="s">
        <v>494</v>
      </c>
      <c r="F61" s="179">
        <v>144305000</v>
      </c>
      <c r="G61" s="118" t="s">
        <v>161</v>
      </c>
      <c r="H61" s="145" t="s">
        <v>250</v>
      </c>
    </row>
    <row r="62" spans="2:8" s="98" customFormat="1" ht="27" customHeight="1" x14ac:dyDescent="0.2">
      <c r="B62" s="146">
        <v>28054</v>
      </c>
      <c r="C62" s="146">
        <f t="shared" ca="1" si="2"/>
        <v>43005</v>
      </c>
      <c r="D62" s="154">
        <f t="shared" ca="1" si="4"/>
        <v>40</v>
      </c>
      <c r="E62" s="135" t="s">
        <v>494</v>
      </c>
      <c r="F62" s="179">
        <v>385100000</v>
      </c>
      <c r="G62" s="159" t="s">
        <v>185</v>
      </c>
      <c r="H62" s="145" t="s">
        <v>251</v>
      </c>
    </row>
    <row r="63" spans="2:8" s="95" customFormat="1" ht="27" customHeight="1" x14ac:dyDescent="0.2">
      <c r="B63" s="146">
        <v>27857</v>
      </c>
      <c r="C63" s="146">
        <f t="shared" ca="1" si="3"/>
        <v>43005</v>
      </c>
      <c r="D63" s="154">
        <f t="shared" ca="1" si="4"/>
        <v>41</v>
      </c>
      <c r="E63" s="106" t="s">
        <v>495</v>
      </c>
      <c r="F63" s="179">
        <v>108356000</v>
      </c>
      <c r="G63" s="144" t="s">
        <v>125</v>
      </c>
      <c r="H63" s="145" t="s">
        <v>50</v>
      </c>
    </row>
    <row r="64" spans="2:8" s="95" customFormat="1" ht="27" customHeight="1" x14ac:dyDescent="0.2">
      <c r="B64" s="146">
        <v>27848</v>
      </c>
      <c r="C64" s="146">
        <f t="shared" ca="1" si="0"/>
        <v>43005</v>
      </c>
      <c r="D64" s="154">
        <f t="shared" ca="1" si="4"/>
        <v>41</v>
      </c>
      <c r="E64" s="106" t="s">
        <v>494</v>
      </c>
      <c r="F64" s="179">
        <v>262373000</v>
      </c>
      <c r="G64" s="118" t="s">
        <v>146</v>
      </c>
      <c r="H64" s="145" t="s">
        <v>50</v>
      </c>
    </row>
    <row r="65" spans="2:8" s="95" customFormat="1" ht="27" customHeight="1" x14ac:dyDescent="0.2">
      <c r="B65" s="146">
        <v>27666</v>
      </c>
      <c r="C65" s="146">
        <f t="shared" ca="1" si="0"/>
        <v>43005</v>
      </c>
      <c r="D65" s="154">
        <f t="shared" ca="1" si="4"/>
        <v>42</v>
      </c>
      <c r="E65" s="106" t="s">
        <v>494</v>
      </c>
      <c r="F65" s="179">
        <v>116374000</v>
      </c>
      <c r="G65" s="155" t="s">
        <v>243</v>
      </c>
      <c r="H65" s="145" t="s">
        <v>50</v>
      </c>
    </row>
    <row r="66" spans="2:8" s="98" customFormat="1" ht="27" customHeight="1" x14ac:dyDescent="0.2">
      <c r="B66" s="108">
        <v>27627</v>
      </c>
      <c r="C66" s="146">
        <f t="shared" ca="1" si="0"/>
        <v>43005</v>
      </c>
      <c r="D66" s="154">
        <f t="shared" ca="1" si="4"/>
        <v>42</v>
      </c>
      <c r="E66" s="145" t="s">
        <v>495</v>
      </c>
      <c r="F66" s="179">
        <v>175350000</v>
      </c>
      <c r="G66" s="118" t="s">
        <v>163</v>
      </c>
      <c r="H66" s="145" t="s">
        <v>226</v>
      </c>
    </row>
    <row r="67" spans="2:8" s="95" customFormat="1" ht="27" customHeight="1" x14ac:dyDescent="0.2">
      <c r="B67" s="146">
        <v>27088</v>
      </c>
      <c r="C67" s="146">
        <f t="shared" ca="1" si="3"/>
        <v>43005</v>
      </c>
      <c r="D67" s="154">
        <f t="shared" ca="1" si="4"/>
        <v>43</v>
      </c>
      <c r="E67" s="106" t="s">
        <v>495</v>
      </c>
      <c r="F67" s="179">
        <v>130000000</v>
      </c>
      <c r="G67" s="144" t="s">
        <v>127</v>
      </c>
      <c r="H67" s="145" t="s">
        <v>50</v>
      </c>
    </row>
    <row r="68" spans="2:8" s="95" customFormat="1" ht="27" customHeight="1" x14ac:dyDescent="0.2">
      <c r="B68" s="146">
        <v>26950</v>
      </c>
      <c r="C68" s="146">
        <f t="shared" ca="1" si="3"/>
        <v>43005</v>
      </c>
      <c r="D68" s="154">
        <f t="shared" ref="D68:D73" ca="1" si="5">INT((C68-B68)/365)</f>
        <v>43</v>
      </c>
      <c r="E68" s="106" t="s">
        <v>495</v>
      </c>
      <c r="F68" s="179">
        <v>177081000</v>
      </c>
      <c r="G68" s="144" t="s">
        <v>230</v>
      </c>
      <c r="H68" s="145" t="s">
        <v>50</v>
      </c>
    </row>
    <row r="69" spans="2:8" s="95" customFormat="1" ht="27" customHeight="1" x14ac:dyDescent="0.2">
      <c r="B69" s="146">
        <v>26908</v>
      </c>
      <c r="C69" s="146">
        <f t="shared" ca="1" si="3"/>
        <v>43005</v>
      </c>
      <c r="D69" s="154">
        <f t="shared" ca="1" si="5"/>
        <v>44</v>
      </c>
      <c r="E69" s="106" t="s">
        <v>495</v>
      </c>
      <c r="F69" s="179">
        <v>631309610</v>
      </c>
      <c r="G69" s="144" t="s">
        <v>128</v>
      </c>
      <c r="H69" s="145" t="s">
        <v>226</v>
      </c>
    </row>
    <row r="70" spans="2:8" s="95" customFormat="1" ht="27" customHeight="1" x14ac:dyDescent="0.2">
      <c r="B70" s="146">
        <v>26652</v>
      </c>
      <c r="C70" s="146">
        <f t="shared" ca="1" si="0"/>
        <v>43005</v>
      </c>
      <c r="D70" s="154">
        <f t="shared" ca="1" si="5"/>
        <v>44</v>
      </c>
      <c r="E70" s="106" t="s">
        <v>494</v>
      </c>
      <c r="F70" s="179">
        <v>214635000</v>
      </c>
      <c r="G70" s="118" t="s">
        <v>133</v>
      </c>
      <c r="H70" s="145" t="s">
        <v>209</v>
      </c>
    </row>
    <row r="71" spans="2:8" s="95" customFormat="1" ht="27" customHeight="1" x14ac:dyDescent="0.2">
      <c r="B71" s="146">
        <v>26284</v>
      </c>
      <c r="C71" s="146">
        <f t="shared" ca="1" si="0"/>
        <v>43005</v>
      </c>
      <c r="D71" s="154">
        <f t="shared" ca="1" si="5"/>
        <v>45</v>
      </c>
      <c r="E71" s="106" t="s">
        <v>494</v>
      </c>
      <c r="F71" s="179">
        <v>161007000</v>
      </c>
      <c r="G71" s="118" t="s">
        <v>145</v>
      </c>
      <c r="H71" s="145" t="s">
        <v>50</v>
      </c>
    </row>
    <row r="72" spans="2:8" s="95" customFormat="1" ht="27" customHeight="1" x14ac:dyDescent="0.2">
      <c r="B72" s="146">
        <v>26516</v>
      </c>
      <c r="C72" s="146">
        <f t="shared" ca="1" si="0"/>
        <v>43005</v>
      </c>
      <c r="D72" s="154">
        <f t="shared" ca="1" si="5"/>
        <v>45</v>
      </c>
      <c r="E72" s="106" t="s">
        <v>494</v>
      </c>
      <c r="F72" s="179">
        <v>227100000</v>
      </c>
      <c r="G72" s="155" t="s">
        <v>240</v>
      </c>
      <c r="H72" s="145" t="s">
        <v>50</v>
      </c>
    </row>
    <row r="73" spans="2:8" s="98" customFormat="1" ht="27" customHeight="1" x14ac:dyDescent="0.2">
      <c r="B73" s="108">
        <v>26234</v>
      </c>
      <c r="C73" s="146">
        <f t="shared" ca="1" si="0"/>
        <v>43005</v>
      </c>
      <c r="D73" s="154">
        <f t="shared" ca="1" si="5"/>
        <v>45</v>
      </c>
      <c r="E73" s="145" t="s">
        <v>494</v>
      </c>
      <c r="F73" s="179">
        <v>332134000</v>
      </c>
      <c r="G73" s="118" t="s">
        <v>166</v>
      </c>
      <c r="H73" s="145" t="s">
        <v>204</v>
      </c>
    </row>
    <row r="74" spans="2:8" s="95" customFormat="1" ht="27" customHeight="1" x14ac:dyDescent="0.2">
      <c r="B74" s="147">
        <v>26402</v>
      </c>
      <c r="C74" s="146">
        <f t="shared" ca="1" si="0"/>
        <v>43005</v>
      </c>
      <c r="D74" s="154">
        <f t="shared" ref="D74:D75" ca="1" si="6">INT((C74-B74)/365)</f>
        <v>45</v>
      </c>
      <c r="E74" s="148" t="s">
        <v>495</v>
      </c>
      <c r="F74" s="180">
        <v>153920000</v>
      </c>
      <c r="G74" s="117" t="s">
        <v>178</v>
      </c>
      <c r="H74" s="158" t="s">
        <v>251</v>
      </c>
    </row>
    <row r="75" spans="2:8" s="98" customFormat="1" ht="27" customHeight="1" x14ac:dyDescent="0.2">
      <c r="B75" s="146">
        <v>26252</v>
      </c>
      <c r="C75" s="146">
        <f t="shared" ca="1" si="0"/>
        <v>43005</v>
      </c>
      <c r="D75" s="154">
        <f t="shared" ca="1" si="6"/>
        <v>45</v>
      </c>
      <c r="E75" s="135" t="s">
        <v>494</v>
      </c>
      <c r="F75" s="179">
        <v>240000000</v>
      </c>
      <c r="G75" s="118" t="s">
        <v>179</v>
      </c>
      <c r="H75" s="145" t="s">
        <v>251</v>
      </c>
    </row>
    <row r="76" spans="2:8" s="95" customFormat="1" ht="27" customHeight="1" x14ac:dyDescent="0.2">
      <c r="B76" s="146">
        <v>25895</v>
      </c>
      <c r="C76" s="146">
        <f t="shared" ca="1" si="3"/>
        <v>43005</v>
      </c>
      <c r="D76" s="154">
        <f t="shared" ref="D76:D99" ca="1" si="7">INT((C76-B76)/365)</f>
        <v>46</v>
      </c>
      <c r="E76" s="106" t="s">
        <v>495</v>
      </c>
      <c r="F76" s="179">
        <v>432515960</v>
      </c>
      <c r="G76" s="155" t="s">
        <v>105</v>
      </c>
      <c r="H76" s="145" t="s">
        <v>201</v>
      </c>
    </row>
    <row r="77" spans="2:8" s="95" customFormat="1" ht="27" customHeight="1" x14ac:dyDescent="0.2">
      <c r="B77" s="146">
        <v>25928</v>
      </c>
      <c r="C77" s="146">
        <f t="shared" ca="1" si="0"/>
        <v>43005</v>
      </c>
      <c r="D77" s="154">
        <f t="shared" ca="1" si="7"/>
        <v>46</v>
      </c>
      <c r="E77" s="106" t="s">
        <v>494</v>
      </c>
      <c r="F77" s="179">
        <v>253453000</v>
      </c>
      <c r="G77" s="144" t="s">
        <v>232</v>
      </c>
      <c r="H77" s="145" t="s">
        <v>224</v>
      </c>
    </row>
    <row r="78" spans="2:8" s="95" customFormat="1" ht="27" customHeight="1" x14ac:dyDescent="0.2">
      <c r="B78" s="146">
        <v>25978</v>
      </c>
      <c r="C78" s="146">
        <f t="shared" ca="1" si="3"/>
        <v>43005</v>
      </c>
      <c r="D78" s="154">
        <f t="shared" ca="1" si="7"/>
        <v>46</v>
      </c>
      <c r="E78" s="106" t="s">
        <v>495</v>
      </c>
      <c r="F78" s="179">
        <v>843390000</v>
      </c>
      <c r="G78" s="144" t="s">
        <v>152</v>
      </c>
      <c r="H78" s="145" t="s">
        <v>207</v>
      </c>
    </row>
    <row r="79" spans="2:8" s="95" customFormat="1" ht="27" customHeight="1" x14ac:dyDescent="0.2">
      <c r="B79" s="146">
        <v>25974</v>
      </c>
      <c r="C79" s="146">
        <f t="shared" ca="1" si="3"/>
        <v>43005</v>
      </c>
      <c r="D79" s="154">
        <f t="shared" ca="1" si="7"/>
        <v>46</v>
      </c>
      <c r="E79" s="106" t="s">
        <v>495</v>
      </c>
      <c r="F79" s="179">
        <v>107114000</v>
      </c>
      <c r="G79" s="142" t="s">
        <v>223</v>
      </c>
      <c r="H79" s="145" t="s">
        <v>50</v>
      </c>
    </row>
    <row r="80" spans="2:8" s="95" customFormat="1" ht="27" customHeight="1" x14ac:dyDescent="0.2">
      <c r="B80" s="146">
        <v>26116</v>
      </c>
      <c r="C80" s="146">
        <f t="shared" ca="1" si="3"/>
        <v>43005</v>
      </c>
      <c r="D80" s="154">
        <f t="shared" ca="1" si="7"/>
        <v>46</v>
      </c>
      <c r="E80" s="106" t="s">
        <v>495</v>
      </c>
      <c r="F80" s="179">
        <v>302586000</v>
      </c>
      <c r="G80" s="118" t="s">
        <v>124</v>
      </c>
      <c r="H80" s="145" t="s">
        <v>224</v>
      </c>
    </row>
    <row r="81" spans="2:8" s="95" customFormat="1" ht="27" customHeight="1" x14ac:dyDescent="0.2">
      <c r="B81" s="146">
        <v>26087</v>
      </c>
      <c r="C81" s="146">
        <f t="shared" ca="1" si="3"/>
        <v>43005</v>
      </c>
      <c r="D81" s="154">
        <f t="shared" ca="1" si="7"/>
        <v>46</v>
      </c>
      <c r="E81" s="106" t="s">
        <v>495</v>
      </c>
      <c r="F81" s="179">
        <v>171760000</v>
      </c>
      <c r="G81" s="144" t="s">
        <v>225</v>
      </c>
      <c r="H81" s="145" t="s">
        <v>50</v>
      </c>
    </row>
    <row r="82" spans="2:8" s="95" customFormat="1" ht="27" customHeight="1" x14ac:dyDescent="0.2">
      <c r="B82" s="146">
        <v>25955</v>
      </c>
      <c r="C82" s="146">
        <f t="shared" ca="1" si="0"/>
        <v>43005</v>
      </c>
      <c r="D82" s="154">
        <f t="shared" ca="1" si="7"/>
        <v>46</v>
      </c>
      <c r="E82" s="106" t="s">
        <v>494</v>
      </c>
      <c r="F82" s="179">
        <v>173666000</v>
      </c>
      <c r="G82" s="144" t="s">
        <v>144</v>
      </c>
      <c r="H82" s="145" t="s">
        <v>50</v>
      </c>
    </row>
    <row r="83" spans="2:8" s="95" customFormat="1" ht="27" customHeight="1" x14ac:dyDescent="0.2">
      <c r="B83" s="146">
        <v>26128</v>
      </c>
      <c r="C83" s="146">
        <f t="shared" ca="1" si="0"/>
        <v>43005</v>
      </c>
      <c r="D83" s="154">
        <f t="shared" ca="1" si="7"/>
        <v>46</v>
      </c>
      <c r="E83" s="106" t="s">
        <v>494</v>
      </c>
      <c r="F83" s="179">
        <v>89057350</v>
      </c>
      <c r="G83" s="155" t="s">
        <v>150</v>
      </c>
      <c r="H83" s="145" t="s">
        <v>50</v>
      </c>
    </row>
    <row r="84" spans="2:8" s="98" customFormat="1" ht="27" customHeight="1" x14ac:dyDescent="0.2">
      <c r="B84" s="108">
        <v>26160</v>
      </c>
      <c r="C84" s="146">
        <f t="shared" ca="1" si="0"/>
        <v>43005</v>
      </c>
      <c r="D84" s="154">
        <f t="shared" ca="1" si="7"/>
        <v>46</v>
      </c>
      <c r="E84" s="145" t="s">
        <v>494</v>
      </c>
      <c r="F84" s="179">
        <v>232831000</v>
      </c>
      <c r="G84" s="144" t="s">
        <v>158</v>
      </c>
      <c r="H84" s="145" t="s">
        <v>250</v>
      </c>
    </row>
    <row r="85" spans="2:8" s="98" customFormat="1" ht="27" customHeight="1" x14ac:dyDescent="0.2">
      <c r="B85" s="146">
        <v>25862</v>
      </c>
      <c r="C85" s="146">
        <f t="shared" ca="1" si="2"/>
        <v>43005</v>
      </c>
      <c r="D85" s="154">
        <f t="shared" ca="1" si="7"/>
        <v>46</v>
      </c>
      <c r="E85" s="135" t="s">
        <v>494</v>
      </c>
      <c r="F85" s="179">
        <v>399392500</v>
      </c>
      <c r="G85" s="118" t="s">
        <v>256</v>
      </c>
      <c r="H85" s="145" t="s">
        <v>251</v>
      </c>
    </row>
    <row r="86" spans="2:8" s="95" customFormat="1" ht="27" customHeight="1" x14ac:dyDescent="0.2">
      <c r="B86" s="146">
        <v>25630</v>
      </c>
      <c r="C86" s="146">
        <f t="shared" ca="1" si="3"/>
        <v>43005</v>
      </c>
      <c r="D86" s="154">
        <f t="shared" ca="1" si="7"/>
        <v>47</v>
      </c>
      <c r="E86" s="106" t="s">
        <v>495</v>
      </c>
      <c r="F86" s="179">
        <v>120000000</v>
      </c>
      <c r="G86" s="144" t="s">
        <v>222</v>
      </c>
      <c r="H86" s="145" t="s">
        <v>50</v>
      </c>
    </row>
    <row r="87" spans="2:8" s="95" customFormat="1" ht="27" customHeight="1" x14ac:dyDescent="0.2">
      <c r="B87" s="146">
        <v>25627</v>
      </c>
      <c r="C87" s="146">
        <f t="shared" ca="1" si="3"/>
        <v>43005</v>
      </c>
      <c r="D87" s="154">
        <f t="shared" ca="1" si="7"/>
        <v>47</v>
      </c>
      <c r="E87" s="106" t="s">
        <v>495</v>
      </c>
      <c r="F87" s="179">
        <v>401976000</v>
      </c>
      <c r="G87" s="144" t="s">
        <v>123</v>
      </c>
      <c r="H87" s="145" t="s">
        <v>50</v>
      </c>
    </row>
    <row r="88" spans="2:8" s="95" customFormat="1" ht="27" customHeight="1" x14ac:dyDescent="0.2">
      <c r="B88" s="146">
        <v>25661</v>
      </c>
      <c r="C88" s="146">
        <f t="shared" ca="1" si="0"/>
        <v>43005</v>
      </c>
      <c r="D88" s="154">
        <f t="shared" ca="1" si="7"/>
        <v>47</v>
      </c>
      <c r="E88" s="106" t="s">
        <v>494</v>
      </c>
      <c r="F88" s="179">
        <v>280025500</v>
      </c>
      <c r="G88" s="142" t="s">
        <v>136</v>
      </c>
      <c r="H88" s="145" t="s">
        <v>50</v>
      </c>
    </row>
    <row r="89" spans="2:8" s="95" customFormat="1" ht="27" customHeight="1" x14ac:dyDescent="0.2">
      <c r="B89" s="108">
        <v>25581</v>
      </c>
      <c r="C89" s="146">
        <f t="shared" ca="1" si="0"/>
        <v>43005</v>
      </c>
      <c r="D89" s="154">
        <f t="shared" ca="1" si="7"/>
        <v>47</v>
      </c>
      <c r="E89" s="143" t="s">
        <v>494</v>
      </c>
      <c r="F89" s="179">
        <v>287707500</v>
      </c>
      <c r="G89" s="155" t="s">
        <v>239</v>
      </c>
      <c r="H89" s="145" t="s">
        <v>50</v>
      </c>
    </row>
    <row r="90" spans="2:8" s="95" customFormat="1" ht="27" customHeight="1" x14ac:dyDescent="0.2">
      <c r="B90" s="146">
        <v>25348</v>
      </c>
      <c r="C90" s="146">
        <f t="shared" ca="1" si="3"/>
        <v>43005</v>
      </c>
      <c r="D90" s="154">
        <f t="shared" ca="1" si="7"/>
        <v>48</v>
      </c>
      <c r="E90" s="106" t="s">
        <v>495</v>
      </c>
      <c r="F90" s="179">
        <v>148005000</v>
      </c>
      <c r="G90" s="144" t="s">
        <v>122</v>
      </c>
      <c r="H90" s="145" t="s">
        <v>50</v>
      </c>
    </row>
    <row r="91" spans="2:8" s="95" customFormat="1" ht="27" customHeight="1" x14ac:dyDescent="0.2">
      <c r="B91" s="146">
        <v>25428</v>
      </c>
      <c r="C91" s="146">
        <f t="shared" ca="1" si="0"/>
        <v>43005</v>
      </c>
      <c r="D91" s="154">
        <f t="shared" ca="1" si="7"/>
        <v>48</v>
      </c>
      <c r="E91" s="106" t="s">
        <v>494</v>
      </c>
      <c r="F91" s="179">
        <v>86282000</v>
      </c>
      <c r="G91" s="155" t="s">
        <v>135</v>
      </c>
      <c r="H91" s="145" t="s">
        <v>50</v>
      </c>
    </row>
    <row r="92" spans="2:8" s="95" customFormat="1" ht="27" customHeight="1" x14ac:dyDescent="0.2">
      <c r="B92" s="146">
        <v>24848</v>
      </c>
      <c r="C92" s="146">
        <f t="shared" ca="1" si="0"/>
        <v>43005</v>
      </c>
      <c r="D92" s="154">
        <f t="shared" ca="1" si="7"/>
        <v>49</v>
      </c>
      <c r="E92" s="106" t="s">
        <v>494</v>
      </c>
      <c r="F92" s="179">
        <v>177915000</v>
      </c>
      <c r="G92" s="144" t="s">
        <v>238</v>
      </c>
      <c r="H92" s="145" t="s">
        <v>50</v>
      </c>
    </row>
    <row r="93" spans="2:8" s="98" customFormat="1" ht="27" customHeight="1" x14ac:dyDescent="0.2">
      <c r="B93" s="108">
        <v>25055</v>
      </c>
      <c r="C93" s="146">
        <f t="shared" ca="1" si="0"/>
        <v>43005</v>
      </c>
      <c r="D93" s="154">
        <f t="shared" ca="1" si="7"/>
        <v>49</v>
      </c>
      <c r="E93" s="135" t="s">
        <v>495</v>
      </c>
      <c r="F93" s="179">
        <v>175291000</v>
      </c>
      <c r="G93" s="155" t="s">
        <v>154</v>
      </c>
      <c r="H93" s="145" t="s">
        <v>250</v>
      </c>
    </row>
    <row r="94" spans="2:8" s="98" customFormat="1" ht="27" customHeight="1" x14ac:dyDescent="0.2">
      <c r="B94" s="146">
        <v>25092</v>
      </c>
      <c r="C94" s="146">
        <f t="shared" ca="1" si="2"/>
        <v>43005</v>
      </c>
      <c r="D94" s="154">
        <f t="shared" ca="1" si="7"/>
        <v>49</v>
      </c>
      <c r="E94" s="135" t="s">
        <v>494</v>
      </c>
      <c r="F94" s="179">
        <v>254675000</v>
      </c>
      <c r="G94" s="118" t="s">
        <v>467</v>
      </c>
      <c r="H94" s="145" t="s">
        <v>50</v>
      </c>
    </row>
    <row r="95" spans="2:8" s="95" customFormat="1" ht="27" customHeight="1" x14ac:dyDescent="0.2">
      <c r="B95" s="146">
        <v>24637</v>
      </c>
      <c r="C95" s="146">
        <f t="shared" ca="1" si="3"/>
        <v>43005</v>
      </c>
      <c r="D95" s="154">
        <f t="shared" ca="1" si="7"/>
        <v>50</v>
      </c>
      <c r="E95" s="106" t="s">
        <v>494</v>
      </c>
      <c r="F95" s="179">
        <v>163135000</v>
      </c>
      <c r="G95" s="144" t="s">
        <v>188</v>
      </c>
      <c r="H95" s="145" t="s">
        <v>50</v>
      </c>
    </row>
    <row r="96" spans="2:8" s="95" customFormat="1" ht="27" customHeight="1" x14ac:dyDescent="0.2">
      <c r="B96" s="146">
        <v>24537</v>
      </c>
      <c r="C96" s="146">
        <f t="shared" ca="1" si="3"/>
        <v>43005</v>
      </c>
      <c r="D96" s="154">
        <f t="shared" ca="1" si="7"/>
        <v>50</v>
      </c>
      <c r="E96" s="106" t="s">
        <v>495</v>
      </c>
      <c r="F96" s="179">
        <v>132074000</v>
      </c>
      <c r="G96" s="144" t="s">
        <v>221</v>
      </c>
      <c r="H96" s="145" t="s">
        <v>50</v>
      </c>
    </row>
    <row r="97" spans="2:8" s="95" customFormat="1" ht="27" customHeight="1" x14ac:dyDescent="0.2">
      <c r="B97" s="146">
        <v>24526</v>
      </c>
      <c r="C97" s="146">
        <f t="shared" ca="1" si="0"/>
        <v>43005</v>
      </c>
      <c r="D97" s="154">
        <f t="shared" ca="1" si="7"/>
        <v>50</v>
      </c>
      <c r="E97" s="106" t="s">
        <v>494</v>
      </c>
      <c r="F97" s="179">
        <v>211560000</v>
      </c>
      <c r="G97" s="144" t="s">
        <v>142</v>
      </c>
      <c r="H97" s="145" t="s">
        <v>50</v>
      </c>
    </row>
    <row r="98" spans="2:8" s="95" customFormat="1" ht="27" customHeight="1" x14ac:dyDescent="0.2">
      <c r="B98" s="146">
        <v>24444</v>
      </c>
      <c r="C98" s="146">
        <f t="shared" ca="1" si="0"/>
        <v>43005</v>
      </c>
      <c r="D98" s="154">
        <f t="shared" ca="1" si="7"/>
        <v>50</v>
      </c>
      <c r="E98" s="106" t="s">
        <v>494</v>
      </c>
      <c r="F98" s="179">
        <v>143542000</v>
      </c>
      <c r="G98" s="118" t="s">
        <v>143</v>
      </c>
      <c r="H98" s="145" t="s">
        <v>50</v>
      </c>
    </row>
    <row r="99" spans="2:8" s="98" customFormat="1" ht="27" customHeight="1" x14ac:dyDescent="0.2">
      <c r="B99" s="146">
        <v>24619</v>
      </c>
      <c r="C99" s="146">
        <f t="shared" ca="1" si="2"/>
        <v>43005</v>
      </c>
      <c r="D99" s="154">
        <f t="shared" ca="1" si="7"/>
        <v>50</v>
      </c>
      <c r="E99" s="135" t="s">
        <v>495</v>
      </c>
      <c r="F99" s="179">
        <v>198000000</v>
      </c>
      <c r="G99" s="118" t="s">
        <v>459</v>
      </c>
      <c r="H99" s="145" t="s">
        <v>461</v>
      </c>
    </row>
    <row r="100" spans="2:8" s="98" customFormat="1" ht="27" customHeight="1" x14ac:dyDescent="0.2">
      <c r="B100" s="146">
        <v>24233</v>
      </c>
      <c r="C100" s="146">
        <f t="shared" ca="1" si="2"/>
        <v>43005</v>
      </c>
      <c r="D100" s="154">
        <f t="shared" ref="D100" ca="1" si="8">INT((C100-B100)/365)</f>
        <v>51</v>
      </c>
      <c r="E100" s="135" t="s">
        <v>495</v>
      </c>
      <c r="F100" s="179">
        <v>93076425</v>
      </c>
      <c r="G100" s="160" t="s">
        <v>484</v>
      </c>
      <c r="H100" s="145" t="s">
        <v>485</v>
      </c>
    </row>
    <row r="101" spans="2:8" s="95" customFormat="1" ht="27" customHeight="1" x14ac:dyDescent="0.2">
      <c r="B101" s="146">
        <v>24373</v>
      </c>
      <c r="C101" s="146">
        <f t="shared" ca="1" si="3"/>
        <v>43005</v>
      </c>
      <c r="D101" s="154">
        <f t="shared" ref="D101:D132" ca="1" si="9">INT((C101-B101)/365)</f>
        <v>51</v>
      </c>
      <c r="E101" s="106" t="s">
        <v>495</v>
      </c>
      <c r="F101" s="179">
        <v>76160000</v>
      </c>
      <c r="G101" s="144" t="s">
        <v>198</v>
      </c>
      <c r="H101" s="145" t="s">
        <v>50</v>
      </c>
    </row>
    <row r="102" spans="2:8" s="95" customFormat="1" ht="27" customHeight="1" x14ac:dyDescent="0.2">
      <c r="B102" s="146">
        <v>24366</v>
      </c>
      <c r="C102" s="146">
        <f t="shared" ca="1" si="3"/>
        <v>43005</v>
      </c>
      <c r="D102" s="154">
        <f t="shared" ca="1" si="9"/>
        <v>51</v>
      </c>
      <c r="E102" s="106" t="s">
        <v>495</v>
      </c>
      <c r="F102" s="179">
        <v>324000000</v>
      </c>
      <c r="G102" s="144" t="s">
        <v>113</v>
      </c>
      <c r="H102" s="145" t="s">
        <v>209</v>
      </c>
    </row>
    <row r="103" spans="2:8" s="95" customFormat="1" ht="27" customHeight="1" x14ac:dyDescent="0.2">
      <c r="B103" s="146">
        <v>24046</v>
      </c>
      <c r="C103" s="146">
        <f t="shared" ca="1" si="3"/>
        <v>43005</v>
      </c>
      <c r="D103" s="154">
        <f t="shared" ca="1" si="9"/>
        <v>51</v>
      </c>
      <c r="E103" s="106" t="s">
        <v>495</v>
      </c>
      <c r="F103" s="179">
        <v>147950000</v>
      </c>
      <c r="G103" s="155" t="s">
        <v>220</v>
      </c>
      <c r="H103" s="145" t="s">
        <v>50</v>
      </c>
    </row>
    <row r="104" spans="2:8" s="95" customFormat="1" ht="27" customHeight="1" x14ac:dyDescent="0.2">
      <c r="B104" s="146">
        <v>24319</v>
      </c>
      <c r="C104" s="146">
        <f t="shared" ca="1" si="0"/>
        <v>43005</v>
      </c>
      <c r="D104" s="154">
        <f t="shared" ca="1" si="9"/>
        <v>51</v>
      </c>
      <c r="E104" s="106" t="s">
        <v>494</v>
      </c>
      <c r="F104" s="179">
        <v>147470000</v>
      </c>
      <c r="G104" s="155" t="s">
        <v>237</v>
      </c>
      <c r="H104" s="145" t="s">
        <v>50</v>
      </c>
    </row>
    <row r="105" spans="2:8" s="95" customFormat="1" ht="27" customHeight="1" x14ac:dyDescent="0.2">
      <c r="B105" s="146">
        <v>24381</v>
      </c>
      <c r="C105" s="146">
        <f t="shared" ca="1" si="0"/>
        <v>43005</v>
      </c>
      <c r="D105" s="154">
        <f t="shared" ca="1" si="9"/>
        <v>51</v>
      </c>
      <c r="E105" s="106" t="s">
        <v>494</v>
      </c>
      <c r="F105" s="179">
        <v>133110000</v>
      </c>
      <c r="G105" s="155" t="s">
        <v>141</v>
      </c>
      <c r="H105" s="145" t="s">
        <v>50</v>
      </c>
    </row>
    <row r="106" spans="2:8" s="98" customFormat="1" ht="27" customHeight="1" x14ac:dyDescent="0.2">
      <c r="B106" s="146">
        <v>24348</v>
      </c>
      <c r="C106" s="146">
        <f t="shared" ca="1" si="0"/>
        <v>43005</v>
      </c>
      <c r="D106" s="154">
        <f t="shared" ca="1" si="9"/>
        <v>51</v>
      </c>
      <c r="E106" s="106" t="s">
        <v>494</v>
      </c>
      <c r="F106" s="179">
        <v>74613000</v>
      </c>
      <c r="G106" s="144" t="s">
        <v>249</v>
      </c>
      <c r="H106" s="145" t="s">
        <v>50</v>
      </c>
    </row>
    <row r="107" spans="2:8" s="98" customFormat="1" ht="27" customHeight="1" x14ac:dyDescent="0.2">
      <c r="B107" s="146">
        <v>24275</v>
      </c>
      <c r="C107" s="146">
        <f t="shared" ca="1" si="2"/>
        <v>43005</v>
      </c>
      <c r="D107" s="154">
        <f t="shared" ca="1" si="9"/>
        <v>51</v>
      </c>
      <c r="E107" s="135" t="s">
        <v>495</v>
      </c>
      <c r="F107" s="179">
        <v>251296000</v>
      </c>
      <c r="G107" s="118" t="s">
        <v>183</v>
      </c>
      <c r="H107" s="145" t="s">
        <v>251</v>
      </c>
    </row>
    <row r="108" spans="2:8" s="95" customFormat="1" ht="27" customHeight="1" x14ac:dyDescent="0.2">
      <c r="B108" s="146">
        <v>23668</v>
      </c>
      <c r="C108" s="146">
        <f t="shared" ca="1" si="3"/>
        <v>43005</v>
      </c>
      <c r="D108" s="154">
        <f t="shared" ca="1" si="9"/>
        <v>52</v>
      </c>
      <c r="E108" s="106" t="s">
        <v>495</v>
      </c>
      <c r="F108" s="179">
        <v>242071000</v>
      </c>
      <c r="G108" s="155" t="s">
        <v>217</v>
      </c>
      <c r="H108" s="145" t="s">
        <v>50</v>
      </c>
    </row>
    <row r="109" spans="2:8" s="95" customFormat="1" ht="27" customHeight="1" x14ac:dyDescent="0.2">
      <c r="B109" s="108">
        <v>23766</v>
      </c>
      <c r="C109" s="146">
        <f t="shared" ca="1" si="3"/>
        <v>43005</v>
      </c>
      <c r="D109" s="154">
        <f t="shared" ca="1" si="9"/>
        <v>52</v>
      </c>
      <c r="E109" s="106" t="s">
        <v>495</v>
      </c>
      <c r="F109" s="179">
        <v>315546000</v>
      </c>
      <c r="G109" s="155" t="s">
        <v>218</v>
      </c>
      <c r="H109" s="145" t="s">
        <v>50</v>
      </c>
    </row>
    <row r="110" spans="2:8" s="95" customFormat="1" ht="27" customHeight="1" x14ac:dyDescent="0.2">
      <c r="B110" s="146">
        <v>23661</v>
      </c>
      <c r="C110" s="146">
        <f t="shared" ca="1" si="3"/>
        <v>43005</v>
      </c>
      <c r="D110" s="154">
        <f t="shared" ca="1" si="9"/>
        <v>52</v>
      </c>
      <c r="E110" s="106" t="s">
        <v>495</v>
      </c>
      <c r="F110" s="179">
        <v>175837500</v>
      </c>
      <c r="G110" s="144" t="s">
        <v>219</v>
      </c>
      <c r="H110" s="145" t="s">
        <v>50</v>
      </c>
    </row>
    <row r="111" spans="2:8" s="95" customFormat="1" ht="27" customHeight="1" x14ac:dyDescent="0.2">
      <c r="B111" s="146">
        <v>23916</v>
      </c>
      <c r="C111" s="146">
        <f t="shared" ca="1" si="3"/>
        <v>43005</v>
      </c>
      <c r="D111" s="154">
        <f t="shared" ca="1" si="9"/>
        <v>52</v>
      </c>
      <c r="E111" s="106" t="s">
        <v>495</v>
      </c>
      <c r="F111" s="179">
        <v>630527630</v>
      </c>
      <c r="G111" s="144" t="s">
        <v>203</v>
      </c>
      <c r="H111" s="145" t="s">
        <v>204</v>
      </c>
    </row>
    <row r="112" spans="2:8" s="95" customFormat="1" ht="27" customHeight="1" x14ac:dyDescent="0.2">
      <c r="B112" s="146">
        <v>23784</v>
      </c>
      <c r="C112" s="146">
        <f t="shared" ca="1" si="0"/>
        <v>43005</v>
      </c>
      <c r="D112" s="154">
        <f t="shared" ca="1" si="9"/>
        <v>52</v>
      </c>
      <c r="E112" s="106" t="s">
        <v>494</v>
      </c>
      <c r="F112" s="179">
        <v>155543000</v>
      </c>
      <c r="G112" s="155" t="s">
        <v>236</v>
      </c>
      <c r="H112" s="145" t="s">
        <v>50</v>
      </c>
    </row>
    <row r="113" spans="2:8" s="95" customFormat="1" ht="27" customHeight="1" x14ac:dyDescent="0.2">
      <c r="B113" s="146">
        <v>23696</v>
      </c>
      <c r="C113" s="146">
        <f t="shared" ca="1" si="0"/>
        <v>43005</v>
      </c>
      <c r="D113" s="154">
        <f t="shared" ca="1" si="9"/>
        <v>52</v>
      </c>
      <c r="E113" s="106" t="s">
        <v>494</v>
      </c>
      <c r="F113" s="179">
        <v>211608000</v>
      </c>
      <c r="G113" s="144" t="s">
        <v>149</v>
      </c>
      <c r="H113" s="145" t="s">
        <v>50</v>
      </c>
    </row>
    <row r="114" spans="2:8" s="95" customFormat="1" ht="27" customHeight="1" x14ac:dyDescent="0.2">
      <c r="B114" s="146">
        <v>23326</v>
      </c>
      <c r="C114" s="146">
        <f t="shared" ca="1" si="3"/>
        <v>43005</v>
      </c>
      <c r="D114" s="154">
        <f t="shared" ca="1" si="9"/>
        <v>53</v>
      </c>
      <c r="E114" s="106" t="s">
        <v>495</v>
      </c>
      <c r="F114" s="179">
        <v>137016000</v>
      </c>
      <c r="G114" s="118" t="s">
        <v>121</v>
      </c>
      <c r="H114" s="145" t="s">
        <v>215</v>
      </c>
    </row>
    <row r="115" spans="2:8" s="95" customFormat="1" ht="27" customHeight="1" x14ac:dyDescent="0.2">
      <c r="B115" s="146">
        <v>23410</v>
      </c>
      <c r="C115" s="146">
        <f t="shared" ca="1" si="3"/>
        <v>43005</v>
      </c>
      <c r="D115" s="154">
        <f t="shared" ca="1" si="9"/>
        <v>53</v>
      </c>
      <c r="E115" s="106" t="s">
        <v>495</v>
      </c>
      <c r="F115" s="179">
        <v>256908000</v>
      </c>
      <c r="G115" s="155" t="s">
        <v>216</v>
      </c>
      <c r="H115" s="145" t="s">
        <v>50</v>
      </c>
    </row>
    <row r="116" spans="2:8" s="95" customFormat="1" ht="27" customHeight="1" x14ac:dyDescent="0.2">
      <c r="B116" s="146">
        <v>23562</v>
      </c>
      <c r="C116" s="146">
        <f t="shared" ca="1" si="0"/>
        <v>43005</v>
      </c>
      <c r="D116" s="154">
        <f t="shared" ca="1" si="9"/>
        <v>53</v>
      </c>
      <c r="E116" s="106" t="s">
        <v>494</v>
      </c>
      <c r="F116" s="179">
        <v>295018000</v>
      </c>
      <c r="G116" s="155" t="s">
        <v>234</v>
      </c>
      <c r="H116" s="145" t="s">
        <v>50</v>
      </c>
    </row>
    <row r="117" spans="2:8" s="95" customFormat="1" ht="27" customHeight="1" x14ac:dyDescent="0.2">
      <c r="B117" s="146">
        <v>23313</v>
      </c>
      <c r="C117" s="146">
        <f t="shared" ca="1" si="0"/>
        <v>43005</v>
      </c>
      <c r="D117" s="154">
        <f t="shared" ca="1" si="9"/>
        <v>53</v>
      </c>
      <c r="E117" s="106" t="s">
        <v>494</v>
      </c>
      <c r="F117" s="179">
        <v>91834000</v>
      </c>
      <c r="G117" s="144" t="s">
        <v>235</v>
      </c>
      <c r="H117" s="145" t="s">
        <v>50</v>
      </c>
    </row>
    <row r="118" spans="2:8" s="95" customFormat="1" ht="27" customHeight="1" x14ac:dyDescent="0.2">
      <c r="B118" s="146">
        <v>23165</v>
      </c>
      <c r="C118" s="146">
        <f t="shared" ca="1" si="0"/>
        <v>43005</v>
      </c>
      <c r="D118" s="154">
        <f t="shared" ca="1" si="9"/>
        <v>54</v>
      </c>
      <c r="E118" s="106" t="s">
        <v>494</v>
      </c>
      <c r="F118" s="179">
        <v>167060500</v>
      </c>
      <c r="G118" s="118" t="s">
        <v>139</v>
      </c>
      <c r="H118" s="145" t="s">
        <v>50</v>
      </c>
    </row>
    <row r="119" spans="2:8" s="98" customFormat="1" ht="27" customHeight="1" x14ac:dyDescent="0.2">
      <c r="B119" s="108">
        <v>23166</v>
      </c>
      <c r="C119" s="146">
        <f t="shared" ca="1" si="0"/>
        <v>43005</v>
      </c>
      <c r="D119" s="154">
        <f t="shared" ca="1" si="9"/>
        <v>54</v>
      </c>
      <c r="E119" s="145" t="s">
        <v>494</v>
      </c>
      <c r="F119" s="179">
        <v>133451000</v>
      </c>
      <c r="G119" s="118" t="s">
        <v>167</v>
      </c>
      <c r="H119" s="145" t="s">
        <v>250</v>
      </c>
    </row>
    <row r="120" spans="2:8" s="95" customFormat="1" ht="27" customHeight="1" x14ac:dyDescent="0.2">
      <c r="B120" s="147">
        <v>23169</v>
      </c>
      <c r="C120" s="146">
        <f t="shared" ca="1" si="0"/>
        <v>43005</v>
      </c>
      <c r="D120" s="154">
        <f t="shared" ca="1" si="9"/>
        <v>54</v>
      </c>
      <c r="E120" s="148" t="s">
        <v>495</v>
      </c>
      <c r="F120" s="180">
        <v>467400000</v>
      </c>
      <c r="G120" s="117" t="s">
        <v>177</v>
      </c>
      <c r="H120" s="158" t="s">
        <v>251</v>
      </c>
    </row>
    <row r="121" spans="2:8" s="98" customFormat="1" ht="27" customHeight="1" x14ac:dyDescent="0.2">
      <c r="B121" s="146">
        <v>23208</v>
      </c>
      <c r="C121" s="146">
        <f t="shared" ca="1" si="2"/>
        <v>43005</v>
      </c>
      <c r="D121" s="154">
        <f t="shared" ca="1" si="9"/>
        <v>54</v>
      </c>
      <c r="E121" s="135" t="s">
        <v>495</v>
      </c>
      <c r="F121" s="179">
        <v>468757000</v>
      </c>
      <c r="G121" s="118" t="s">
        <v>180</v>
      </c>
      <c r="H121" s="145" t="s">
        <v>251</v>
      </c>
    </row>
    <row r="122" spans="2:8" s="95" customFormat="1" ht="27" customHeight="1" x14ac:dyDescent="0.2">
      <c r="B122" s="146">
        <v>22850</v>
      </c>
      <c r="C122" s="146">
        <f t="shared" ca="1" si="3"/>
        <v>43005</v>
      </c>
      <c r="D122" s="154">
        <f t="shared" ca="1" si="9"/>
        <v>55</v>
      </c>
      <c r="E122" s="106" t="s">
        <v>495</v>
      </c>
      <c r="F122" s="179">
        <v>203206000</v>
      </c>
      <c r="G122" s="118" t="s">
        <v>120</v>
      </c>
      <c r="H122" s="145" t="s">
        <v>214</v>
      </c>
    </row>
    <row r="123" spans="2:8" s="95" customFormat="1" ht="27" customHeight="1" x14ac:dyDescent="0.2">
      <c r="B123" s="146">
        <v>22916</v>
      </c>
      <c r="C123" s="146">
        <f t="shared" ca="1" si="3"/>
        <v>43005</v>
      </c>
      <c r="D123" s="154">
        <f t="shared" ca="1" si="9"/>
        <v>55</v>
      </c>
      <c r="E123" s="106" t="s">
        <v>495</v>
      </c>
      <c r="F123" s="179">
        <v>259300000</v>
      </c>
      <c r="G123" s="155" t="s">
        <v>205</v>
      </c>
      <c r="H123" s="145" t="s">
        <v>50</v>
      </c>
    </row>
    <row r="124" spans="2:8" s="95" customFormat="1" ht="27" customHeight="1" x14ac:dyDescent="0.2">
      <c r="B124" s="146">
        <v>22623</v>
      </c>
      <c r="C124" s="146">
        <f t="shared" ca="1" si="0"/>
        <v>43005</v>
      </c>
      <c r="D124" s="154">
        <f t="shared" ca="1" si="9"/>
        <v>55</v>
      </c>
      <c r="E124" s="106" t="s">
        <v>494</v>
      </c>
      <c r="F124" s="179">
        <v>275022000</v>
      </c>
      <c r="G124" s="144" t="s">
        <v>233</v>
      </c>
      <c r="H124" s="145" t="s">
        <v>50</v>
      </c>
    </row>
    <row r="125" spans="2:8" s="98" customFormat="1" ht="27" customHeight="1" x14ac:dyDescent="0.2">
      <c r="B125" s="108">
        <v>22883</v>
      </c>
      <c r="C125" s="146">
        <f t="shared" ca="1" si="0"/>
        <v>43005</v>
      </c>
      <c r="D125" s="154">
        <f t="shared" ca="1" si="9"/>
        <v>55</v>
      </c>
      <c r="E125" s="145" t="s">
        <v>494</v>
      </c>
      <c r="F125" s="179">
        <v>149325000</v>
      </c>
      <c r="G125" s="118" t="s">
        <v>165</v>
      </c>
      <c r="H125" s="145" t="s">
        <v>250</v>
      </c>
    </row>
    <row r="126" spans="2:8" s="95" customFormat="1" ht="27" customHeight="1" x14ac:dyDescent="0.2">
      <c r="B126" s="146">
        <v>22416</v>
      </c>
      <c r="C126" s="146">
        <f t="shared" ca="1" si="3"/>
        <v>43005</v>
      </c>
      <c r="D126" s="154">
        <f t="shared" ca="1" si="9"/>
        <v>56</v>
      </c>
      <c r="E126" s="106" t="s">
        <v>495</v>
      </c>
      <c r="F126" s="179">
        <v>128420500</v>
      </c>
      <c r="G126" s="144" t="s">
        <v>117</v>
      </c>
      <c r="H126" s="145" t="s">
        <v>50</v>
      </c>
    </row>
    <row r="127" spans="2:8" s="95" customFormat="1" ht="27" customHeight="1" x14ac:dyDescent="0.2">
      <c r="B127" s="146">
        <v>22289</v>
      </c>
      <c r="C127" s="146">
        <f t="shared" ca="1" si="3"/>
        <v>43005</v>
      </c>
      <c r="D127" s="154">
        <f t="shared" ca="1" si="9"/>
        <v>56</v>
      </c>
      <c r="E127" s="106" t="s">
        <v>495</v>
      </c>
      <c r="F127" s="179">
        <v>87120000</v>
      </c>
      <c r="G127" s="118" t="s">
        <v>118</v>
      </c>
      <c r="H127" s="145" t="s">
        <v>212</v>
      </c>
    </row>
    <row r="128" spans="2:8" s="95" customFormat="1" ht="27" customHeight="1" x14ac:dyDescent="0.2">
      <c r="B128" s="146">
        <v>22301</v>
      </c>
      <c r="C128" s="146">
        <f t="shared" ca="1" si="3"/>
        <v>43005</v>
      </c>
      <c r="D128" s="154">
        <f t="shared" ca="1" si="9"/>
        <v>56</v>
      </c>
      <c r="E128" s="106" t="s">
        <v>495</v>
      </c>
      <c r="F128" s="179">
        <v>270990000</v>
      </c>
      <c r="G128" s="118" t="s">
        <v>213</v>
      </c>
      <c r="H128" s="145" t="s">
        <v>50</v>
      </c>
    </row>
    <row r="129" spans="2:8" s="95" customFormat="1" ht="27" customHeight="1" x14ac:dyDescent="0.2">
      <c r="B129" s="146">
        <v>22465</v>
      </c>
      <c r="C129" s="146">
        <f t="shared" ca="1" si="3"/>
        <v>43005</v>
      </c>
      <c r="D129" s="154">
        <f t="shared" ca="1" si="9"/>
        <v>56</v>
      </c>
      <c r="E129" s="106" t="s">
        <v>495</v>
      </c>
      <c r="F129" s="179">
        <v>84750000</v>
      </c>
      <c r="G129" s="118" t="s">
        <v>119</v>
      </c>
      <c r="H129" s="145" t="s">
        <v>50</v>
      </c>
    </row>
    <row r="130" spans="2:8" s="95" customFormat="1" ht="27" customHeight="1" x14ac:dyDescent="0.2">
      <c r="B130" s="146">
        <v>22442</v>
      </c>
      <c r="C130" s="146">
        <f t="shared" ca="1" si="0"/>
        <v>43005</v>
      </c>
      <c r="D130" s="154">
        <f t="shared" ca="1" si="9"/>
        <v>56</v>
      </c>
      <c r="E130" s="106" t="s">
        <v>495</v>
      </c>
      <c r="F130" s="179">
        <v>1364794000</v>
      </c>
      <c r="G130" s="144" t="s">
        <v>132</v>
      </c>
      <c r="H130" s="145" t="s">
        <v>231</v>
      </c>
    </row>
    <row r="131" spans="2:8" s="95" customFormat="1" ht="27" customHeight="1" x14ac:dyDescent="0.2">
      <c r="B131" s="147">
        <v>22407</v>
      </c>
      <c r="C131" s="146">
        <f t="shared" ca="1" si="0"/>
        <v>43005</v>
      </c>
      <c r="D131" s="154">
        <f t="shared" ca="1" si="9"/>
        <v>56</v>
      </c>
      <c r="E131" s="148" t="s">
        <v>495</v>
      </c>
      <c r="F131" s="180">
        <v>234900000</v>
      </c>
      <c r="G131" s="117" t="s">
        <v>176</v>
      </c>
      <c r="H131" s="158" t="s">
        <v>251</v>
      </c>
    </row>
    <row r="132" spans="2:8" s="95" customFormat="1" ht="27" customHeight="1" x14ac:dyDescent="0.2">
      <c r="B132" s="146">
        <v>21830</v>
      </c>
      <c r="C132" s="146">
        <f t="shared" ca="1" si="3"/>
        <v>43005</v>
      </c>
      <c r="D132" s="154">
        <f t="shared" ca="1" si="9"/>
        <v>58</v>
      </c>
      <c r="E132" s="106" t="s">
        <v>494</v>
      </c>
      <c r="F132" s="179">
        <v>54981500</v>
      </c>
      <c r="G132" s="155" t="s">
        <v>194</v>
      </c>
      <c r="H132" s="145" t="s">
        <v>195</v>
      </c>
    </row>
    <row r="133" spans="2:8" s="95" customFormat="1" ht="27" customHeight="1" x14ac:dyDescent="0.2">
      <c r="B133" s="146">
        <v>21890</v>
      </c>
      <c r="C133" s="146">
        <f t="shared" ca="1" si="3"/>
        <v>43005</v>
      </c>
      <c r="D133" s="154">
        <f t="shared" ref="D133:D157" ca="1" si="10">INT((C133-B133)/365)</f>
        <v>57</v>
      </c>
      <c r="E133" s="106" t="s">
        <v>494</v>
      </c>
      <c r="F133" s="179">
        <v>253584000</v>
      </c>
      <c r="G133" s="155" t="s">
        <v>101</v>
      </c>
      <c r="H133" s="145" t="s">
        <v>50</v>
      </c>
    </row>
    <row r="134" spans="2:8" s="95" customFormat="1" ht="27" customHeight="1" x14ac:dyDescent="0.2">
      <c r="B134" s="146">
        <v>21950</v>
      </c>
      <c r="C134" s="146">
        <f t="shared" ca="1" si="3"/>
        <v>43005</v>
      </c>
      <c r="D134" s="154">
        <f t="shared" ca="1" si="10"/>
        <v>57</v>
      </c>
      <c r="E134" s="106" t="s">
        <v>495</v>
      </c>
      <c r="F134" s="179">
        <v>235973800</v>
      </c>
      <c r="G134" s="144" t="s">
        <v>210</v>
      </c>
      <c r="H134" s="145" t="s">
        <v>50</v>
      </c>
    </row>
    <row r="135" spans="2:8" s="95" customFormat="1" ht="27" customHeight="1" x14ac:dyDescent="0.2">
      <c r="B135" s="146">
        <v>22060</v>
      </c>
      <c r="C135" s="146">
        <f t="shared" ca="1" si="3"/>
        <v>43005</v>
      </c>
      <c r="D135" s="154">
        <f t="shared" ca="1" si="10"/>
        <v>57</v>
      </c>
      <c r="E135" s="106" t="s">
        <v>495</v>
      </c>
      <c r="F135" s="179">
        <v>148410000</v>
      </c>
      <c r="G135" s="155" t="s">
        <v>211</v>
      </c>
      <c r="H135" s="145" t="s">
        <v>50</v>
      </c>
    </row>
    <row r="136" spans="2:8" s="95" customFormat="1" ht="27" customHeight="1" x14ac:dyDescent="0.2">
      <c r="B136" s="146">
        <v>21968</v>
      </c>
      <c r="C136" s="146">
        <f t="shared" ca="1" si="3"/>
        <v>43005</v>
      </c>
      <c r="D136" s="154">
        <f t="shared" ca="1" si="10"/>
        <v>57</v>
      </c>
      <c r="E136" s="146" t="s">
        <v>495</v>
      </c>
      <c r="F136" s="179">
        <v>219240000</v>
      </c>
      <c r="G136" s="118" t="s">
        <v>115</v>
      </c>
      <c r="H136" s="145" t="s">
        <v>50</v>
      </c>
    </row>
    <row r="137" spans="2:8" s="95" customFormat="1" ht="27" customHeight="1" x14ac:dyDescent="0.2">
      <c r="B137" s="146">
        <v>21942</v>
      </c>
      <c r="C137" s="146">
        <f t="shared" ca="1" si="3"/>
        <v>43005</v>
      </c>
      <c r="D137" s="154">
        <f t="shared" ca="1" si="10"/>
        <v>57</v>
      </c>
      <c r="E137" s="106" t="s">
        <v>495</v>
      </c>
      <c r="F137" s="179">
        <v>109395000</v>
      </c>
      <c r="G137" s="155" t="s">
        <v>116</v>
      </c>
      <c r="H137" s="145" t="s">
        <v>50</v>
      </c>
    </row>
    <row r="138" spans="2:8" s="98" customFormat="1" ht="27" customHeight="1" x14ac:dyDescent="0.2">
      <c r="B138" s="146">
        <v>21984</v>
      </c>
      <c r="C138" s="146">
        <f t="shared" ca="1" si="2"/>
        <v>43005</v>
      </c>
      <c r="D138" s="154">
        <f t="shared" ca="1" si="10"/>
        <v>57</v>
      </c>
      <c r="E138" s="135" t="s">
        <v>495</v>
      </c>
      <c r="F138" s="179">
        <v>117766000</v>
      </c>
      <c r="G138" s="137" t="s">
        <v>255</v>
      </c>
      <c r="H138" s="145" t="s">
        <v>251</v>
      </c>
    </row>
    <row r="139" spans="2:8" s="95" customFormat="1" ht="27" customHeight="1" x14ac:dyDescent="0.2">
      <c r="B139" s="146">
        <v>21476</v>
      </c>
      <c r="C139" s="146">
        <f t="shared" ca="1" si="3"/>
        <v>43005</v>
      </c>
      <c r="D139" s="154">
        <f t="shared" ca="1" si="10"/>
        <v>58</v>
      </c>
      <c r="E139" s="106" t="s">
        <v>494</v>
      </c>
      <c r="F139" s="179">
        <v>208850000</v>
      </c>
      <c r="G139" s="155" t="s">
        <v>190</v>
      </c>
      <c r="H139" s="145" t="s">
        <v>50</v>
      </c>
    </row>
    <row r="140" spans="2:8" s="95" customFormat="1" ht="27" customHeight="1" x14ac:dyDescent="0.2">
      <c r="B140" s="146">
        <v>21556</v>
      </c>
      <c r="C140" s="146">
        <f t="shared" ca="1" si="3"/>
        <v>43005</v>
      </c>
      <c r="D140" s="154">
        <f t="shared" ca="1" si="10"/>
        <v>58</v>
      </c>
      <c r="E140" s="106" t="s">
        <v>495</v>
      </c>
      <c r="F140" s="179">
        <v>146040000</v>
      </c>
      <c r="G140" s="118" t="s">
        <v>103</v>
      </c>
      <c r="H140" s="145" t="s">
        <v>50</v>
      </c>
    </row>
    <row r="141" spans="2:8" s="95" customFormat="1" ht="27" customHeight="1" x14ac:dyDescent="0.2">
      <c r="B141" s="146">
        <v>21489</v>
      </c>
      <c r="C141" s="146">
        <f t="shared" ca="1" si="3"/>
        <v>43005</v>
      </c>
      <c r="D141" s="154">
        <f t="shared" ca="1" si="10"/>
        <v>58</v>
      </c>
      <c r="E141" s="106" t="s">
        <v>495</v>
      </c>
      <c r="F141" s="179">
        <v>270160000</v>
      </c>
      <c r="G141" s="155" t="s">
        <v>107</v>
      </c>
      <c r="H141" s="145" t="s">
        <v>50</v>
      </c>
    </row>
    <row r="142" spans="2:8" s="95" customFormat="1" ht="27" customHeight="1" x14ac:dyDescent="0.2">
      <c r="B142" s="146">
        <v>21576</v>
      </c>
      <c r="C142" s="146">
        <f t="shared" ca="1" si="3"/>
        <v>43005</v>
      </c>
      <c r="D142" s="154">
        <f t="shared" ca="1" si="10"/>
        <v>58</v>
      </c>
      <c r="E142" s="106" t="s">
        <v>495</v>
      </c>
      <c r="F142" s="179">
        <v>55600000</v>
      </c>
      <c r="G142" s="144" t="s">
        <v>111</v>
      </c>
      <c r="H142" s="145" t="s">
        <v>50</v>
      </c>
    </row>
    <row r="143" spans="2:8" s="95" customFormat="1" ht="27" customHeight="1" x14ac:dyDescent="0.2">
      <c r="B143" s="146">
        <v>21784</v>
      </c>
      <c r="C143" s="146">
        <f t="shared" ca="1" si="0"/>
        <v>43005</v>
      </c>
      <c r="D143" s="154">
        <f t="shared" ca="1" si="10"/>
        <v>58</v>
      </c>
      <c r="E143" s="106" t="s">
        <v>494</v>
      </c>
      <c r="F143" s="179">
        <v>150711000</v>
      </c>
      <c r="G143" s="144" t="s">
        <v>140</v>
      </c>
      <c r="H143" s="145" t="s">
        <v>50</v>
      </c>
    </row>
    <row r="144" spans="2:8" s="95" customFormat="1" ht="27" customHeight="1" x14ac:dyDescent="0.2">
      <c r="B144" s="146">
        <v>21187</v>
      </c>
      <c r="C144" s="146">
        <f t="shared" ca="1" si="3"/>
        <v>43005</v>
      </c>
      <c r="D144" s="154">
        <f t="shared" ca="1" si="10"/>
        <v>59</v>
      </c>
      <c r="E144" s="106" t="s">
        <v>494</v>
      </c>
      <c r="F144" s="179">
        <v>848757000</v>
      </c>
      <c r="G144" s="144" t="s">
        <v>193</v>
      </c>
      <c r="H144" s="145" t="s">
        <v>50</v>
      </c>
    </row>
    <row r="145" spans="2:8" s="95" customFormat="1" ht="27" customHeight="1" x14ac:dyDescent="0.2">
      <c r="B145" s="146">
        <v>21434</v>
      </c>
      <c r="C145" s="146">
        <f t="shared" ca="1" si="3"/>
        <v>43005</v>
      </c>
      <c r="D145" s="154">
        <f t="shared" ca="1" si="10"/>
        <v>59</v>
      </c>
      <c r="E145" s="106" t="s">
        <v>495</v>
      </c>
      <c r="F145" s="179">
        <v>128049000</v>
      </c>
      <c r="G145" s="144" t="s">
        <v>110</v>
      </c>
      <c r="H145" s="145" t="s">
        <v>50</v>
      </c>
    </row>
    <row r="146" spans="2:8" s="95" customFormat="1" ht="27" customHeight="1" x14ac:dyDescent="0.2">
      <c r="B146" s="146">
        <v>21328</v>
      </c>
      <c r="C146" s="146">
        <f t="shared" ca="1" si="0"/>
        <v>43005</v>
      </c>
      <c r="D146" s="154">
        <f t="shared" ca="1" si="10"/>
        <v>59</v>
      </c>
      <c r="E146" s="106" t="s">
        <v>494</v>
      </c>
      <c r="F146" s="179">
        <v>222000000</v>
      </c>
      <c r="G146" s="144" t="s">
        <v>137</v>
      </c>
      <c r="H146" s="145" t="s">
        <v>50</v>
      </c>
    </row>
    <row r="147" spans="2:8" s="98" customFormat="1" ht="27" customHeight="1" x14ac:dyDescent="0.2">
      <c r="B147" s="108">
        <v>21268</v>
      </c>
      <c r="C147" s="146">
        <f t="shared" ca="1" si="0"/>
        <v>43005</v>
      </c>
      <c r="D147" s="154">
        <f t="shared" ca="1" si="10"/>
        <v>59</v>
      </c>
      <c r="E147" s="145" t="s">
        <v>494</v>
      </c>
      <c r="F147" s="179">
        <v>434200000</v>
      </c>
      <c r="G147" s="118" t="s">
        <v>169</v>
      </c>
      <c r="H147" s="145" t="s">
        <v>250</v>
      </c>
    </row>
    <row r="148" spans="2:8" s="95" customFormat="1" ht="27" customHeight="1" x14ac:dyDescent="0.2">
      <c r="B148" s="147">
        <v>21425</v>
      </c>
      <c r="C148" s="146">
        <f t="shared" ca="1" si="2"/>
        <v>43005</v>
      </c>
      <c r="D148" s="154">
        <f t="shared" ca="1" si="10"/>
        <v>59</v>
      </c>
      <c r="E148" s="148" t="s">
        <v>495</v>
      </c>
      <c r="F148" s="180">
        <v>115758440</v>
      </c>
      <c r="G148" s="117" t="s">
        <v>182</v>
      </c>
      <c r="H148" s="158" t="s">
        <v>253</v>
      </c>
    </row>
    <row r="149" spans="2:8" s="95" customFormat="1" ht="27" customHeight="1" x14ac:dyDescent="0.2">
      <c r="B149" s="146">
        <v>20926</v>
      </c>
      <c r="C149" s="146">
        <f t="shared" ca="1" si="3"/>
        <v>43005</v>
      </c>
      <c r="D149" s="154">
        <f t="shared" ca="1" si="10"/>
        <v>60</v>
      </c>
      <c r="E149" s="106" t="s">
        <v>495</v>
      </c>
      <c r="F149" s="179">
        <v>142222500</v>
      </c>
      <c r="G149" s="118" t="s">
        <v>199</v>
      </c>
      <c r="H149" s="145" t="s">
        <v>50</v>
      </c>
    </row>
    <row r="150" spans="2:8" s="95" customFormat="1" ht="27" customHeight="1" x14ac:dyDescent="0.2">
      <c r="B150" s="146">
        <v>20880</v>
      </c>
      <c r="C150" s="146">
        <f t="shared" ca="1" si="3"/>
        <v>43005</v>
      </c>
      <c r="D150" s="154">
        <f t="shared" ca="1" si="10"/>
        <v>60</v>
      </c>
      <c r="E150" s="106" t="s">
        <v>495</v>
      </c>
      <c r="F150" s="179">
        <v>113137500</v>
      </c>
      <c r="G150" s="144" t="s">
        <v>206</v>
      </c>
      <c r="H150" s="145" t="s">
        <v>50</v>
      </c>
    </row>
    <row r="151" spans="2:8" s="95" customFormat="1" ht="27" customHeight="1" x14ac:dyDescent="0.2">
      <c r="B151" s="146">
        <v>20717</v>
      </c>
      <c r="C151" s="146">
        <f t="shared" ca="1" si="3"/>
        <v>43005</v>
      </c>
      <c r="D151" s="154">
        <f t="shared" ca="1" si="10"/>
        <v>61</v>
      </c>
      <c r="E151" s="106" t="s">
        <v>495</v>
      </c>
      <c r="F151" s="179">
        <v>539550000</v>
      </c>
      <c r="G151" s="144" t="s">
        <v>108</v>
      </c>
      <c r="H151" s="145" t="s">
        <v>50</v>
      </c>
    </row>
    <row r="152" spans="2:8" s="95" customFormat="1" ht="27" customHeight="1" x14ac:dyDescent="0.2">
      <c r="B152" s="146">
        <v>20697</v>
      </c>
      <c r="C152" s="146">
        <f t="shared" ca="1" si="3"/>
        <v>43005</v>
      </c>
      <c r="D152" s="154">
        <f t="shared" ca="1" si="10"/>
        <v>61</v>
      </c>
      <c r="E152" s="106" t="s">
        <v>495</v>
      </c>
      <c r="F152" s="179">
        <v>193984000</v>
      </c>
      <c r="G152" s="144" t="s">
        <v>109</v>
      </c>
      <c r="H152" s="145" t="s">
        <v>50</v>
      </c>
    </row>
    <row r="153" spans="2:8" s="95" customFormat="1" ht="27" customHeight="1" x14ac:dyDescent="0.2">
      <c r="B153" s="146">
        <v>20486</v>
      </c>
      <c r="C153" s="146">
        <f t="shared" ca="1" si="0"/>
        <v>43005</v>
      </c>
      <c r="D153" s="154">
        <f t="shared" ca="1" si="10"/>
        <v>61</v>
      </c>
      <c r="E153" s="106" t="s">
        <v>494</v>
      </c>
      <c r="F153" s="179">
        <v>623512000</v>
      </c>
      <c r="G153" s="144" t="s">
        <v>138</v>
      </c>
      <c r="H153" s="145" t="s">
        <v>50</v>
      </c>
    </row>
    <row r="154" spans="2:8" s="95" customFormat="1" ht="27" customHeight="1" x14ac:dyDescent="0.2">
      <c r="B154" s="146">
        <v>20103</v>
      </c>
      <c r="C154" s="146">
        <f t="shared" ca="1" si="3"/>
        <v>43005</v>
      </c>
      <c r="D154" s="154">
        <f t="shared" ca="1" si="10"/>
        <v>62</v>
      </c>
      <c r="E154" s="106" t="s">
        <v>495</v>
      </c>
      <c r="F154" s="179">
        <v>91625000</v>
      </c>
      <c r="G154" s="144" t="s">
        <v>112</v>
      </c>
      <c r="H154" s="145" t="s">
        <v>50</v>
      </c>
    </row>
    <row r="155" spans="2:8" s="95" customFormat="1" ht="27" customHeight="1" x14ac:dyDescent="0.2">
      <c r="B155" s="146">
        <v>19539</v>
      </c>
      <c r="C155" s="146">
        <f ca="1">TODAY()</f>
        <v>43005</v>
      </c>
      <c r="D155" s="154">
        <f t="shared" ca="1" si="10"/>
        <v>64</v>
      </c>
      <c r="E155" s="106" t="s">
        <v>494</v>
      </c>
      <c r="F155" s="179">
        <v>250920000</v>
      </c>
      <c r="G155" s="155" t="s">
        <v>187</v>
      </c>
      <c r="H155" s="145" t="s">
        <v>50</v>
      </c>
    </row>
    <row r="156" spans="2:8" s="95" customFormat="1" ht="27" customHeight="1" x14ac:dyDescent="0.2">
      <c r="B156" s="146">
        <v>18330</v>
      </c>
      <c r="C156" s="146">
        <f t="shared" ca="1" si="3"/>
        <v>43005</v>
      </c>
      <c r="D156" s="154">
        <f t="shared" ca="1" si="10"/>
        <v>67</v>
      </c>
      <c r="E156" s="106" t="s">
        <v>494</v>
      </c>
      <c r="F156" s="179">
        <v>229130000</v>
      </c>
      <c r="G156" s="155" t="s">
        <v>192</v>
      </c>
      <c r="H156" s="145" t="s">
        <v>50</v>
      </c>
    </row>
    <row r="157" spans="2:8" s="95" customFormat="1" ht="27" customHeight="1" x14ac:dyDescent="0.2">
      <c r="B157" s="146">
        <v>18317</v>
      </c>
      <c r="C157" s="146">
        <f t="shared" ca="1" si="3"/>
        <v>43005</v>
      </c>
      <c r="D157" s="154">
        <f t="shared" ca="1" si="10"/>
        <v>67</v>
      </c>
      <c r="E157" s="106" t="s">
        <v>495</v>
      </c>
      <c r="F157" s="179">
        <v>1208230500</v>
      </c>
      <c r="G157" s="118" t="s">
        <v>104</v>
      </c>
      <c r="H157" s="145" t="s">
        <v>50</v>
      </c>
    </row>
    <row r="158" spans="2:8" s="95" customFormat="1" ht="27" customHeight="1" x14ac:dyDescent="0.2">
      <c r="B158" s="146">
        <v>15427</v>
      </c>
      <c r="C158" s="146">
        <f t="shared" ca="1" si="3"/>
        <v>43005</v>
      </c>
      <c r="D158" s="154">
        <f t="shared" ref="D158:D159" ca="1" si="11">INT((C158-B158)/365)</f>
        <v>75</v>
      </c>
      <c r="E158" s="161" t="s">
        <v>494</v>
      </c>
      <c r="F158" s="179">
        <v>1030304000</v>
      </c>
      <c r="G158" s="155" t="s">
        <v>191</v>
      </c>
      <c r="H158" s="145" t="s">
        <v>50</v>
      </c>
    </row>
    <row r="159" spans="2:8" s="95" customFormat="1" ht="27" customHeight="1" x14ac:dyDescent="0.2">
      <c r="B159" s="146">
        <v>15328</v>
      </c>
      <c r="C159" s="146">
        <f t="shared" ca="1" si="3"/>
        <v>43005</v>
      </c>
      <c r="D159" s="154">
        <f t="shared" ca="1" si="11"/>
        <v>75</v>
      </c>
      <c r="E159" s="106" t="s">
        <v>495</v>
      </c>
      <c r="F159" s="179">
        <v>63454000</v>
      </c>
      <c r="G159" s="118" t="s">
        <v>102</v>
      </c>
      <c r="H159" s="145" t="s">
        <v>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workbookViewId="0">
      <selection activeCell="D1" sqref="D1"/>
    </sheetView>
  </sheetViews>
  <sheetFormatPr baseColWidth="10" defaultRowHeight="22.5" customHeight="1" x14ac:dyDescent="0.2"/>
  <cols>
    <col min="1" max="1" width="11.42578125" style="94" customWidth="1"/>
    <col min="2" max="2" width="13.28515625" style="113" customWidth="1"/>
    <col min="3" max="3" width="15" style="113" customWidth="1"/>
    <col min="4" max="4" width="14.140625" style="121" customWidth="1"/>
    <col min="5" max="5" width="40.42578125" style="113" customWidth="1"/>
    <col min="6" max="6" width="16.140625" style="121" customWidth="1"/>
    <col min="7" max="7" width="18.42578125" style="113" bestFit="1" customWidth="1"/>
    <col min="8" max="8" width="15.28515625" style="113" bestFit="1" customWidth="1"/>
    <col min="9" max="10" width="11.42578125" style="113"/>
    <col min="11" max="11" width="14.85546875" style="113" hidden="1" customWidth="1"/>
    <col min="12" max="12" width="23.140625" style="113" hidden="1" customWidth="1"/>
    <col min="13" max="13" width="27.140625" style="113" hidden="1" customWidth="1"/>
    <col min="14" max="14" width="22.140625" style="113" hidden="1" customWidth="1"/>
    <col min="15" max="15" width="17.85546875" style="113" bestFit="1" customWidth="1"/>
    <col min="16" max="16" width="27.7109375" style="113" customWidth="1"/>
    <col min="17" max="17" width="27" style="113" customWidth="1"/>
    <col min="18" max="16384" width="11.42578125" style="94"/>
  </cols>
  <sheetData>
    <row r="2" spans="2:17" ht="22.5" customHeight="1" x14ac:dyDescent="0.2">
      <c r="B2" s="162" t="s">
        <v>0</v>
      </c>
      <c r="C2" s="162" t="s">
        <v>493</v>
      </c>
      <c r="D2" s="162" t="s">
        <v>458</v>
      </c>
      <c r="E2" s="162" t="s">
        <v>492</v>
      </c>
      <c r="F2" s="162" t="s">
        <v>266</v>
      </c>
      <c r="G2" s="162" t="s">
        <v>267</v>
      </c>
      <c r="H2" s="162" t="s">
        <v>268</v>
      </c>
      <c r="I2" s="162" t="s">
        <v>269</v>
      </c>
      <c r="J2" s="162" t="s">
        <v>270</v>
      </c>
      <c r="K2" s="162" t="s">
        <v>271</v>
      </c>
      <c r="L2" s="162" t="s">
        <v>272</v>
      </c>
      <c r="M2" s="162" t="s">
        <v>273</v>
      </c>
      <c r="N2" s="162" t="s">
        <v>186</v>
      </c>
      <c r="O2" s="162" t="s">
        <v>274</v>
      </c>
      <c r="P2" s="162" t="s">
        <v>275</v>
      </c>
      <c r="Q2" s="94"/>
    </row>
    <row r="3" spans="2:17" s="98" customFormat="1" ht="22.5" customHeight="1" x14ac:dyDescent="0.2">
      <c r="B3" s="108">
        <v>32422</v>
      </c>
      <c r="C3" s="116">
        <f t="shared" ref="C3:C28" ca="1" si="0">TODAY()</f>
        <v>43005</v>
      </c>
      <c r="D3" s="126">
        <f t="shared" ref="D3:D17" ca="1" si="1">INT((C3-B3)/365)</f>
        <v>28</v>
      </c>
      <c r="E3" s="143" t="s">
        <v>495</v>
      </c>
      <c r="F3" s="143" t="s">
        <v>276</v>
      </c>
      <c r="G3" s="156" t="s">
        <v>335</v>
      </c>
      <c r="H3" s="143" t="s">
        <v>466</v>
      </c>
      <c r="I3" s="143">
        <v>2016</v>
      </c>
      <c r="J3" s="118" t="s">
        <v>279</v>
      </c>
      <c r="K3" s="118" t="s">
        <v>390</v>
      </c>
      <c r="L3" s="156" t="s">
        <v>391</v>
      </c>
      <c r="M3" s="156" t="s">
        <v>392</v>
      </c>
      <c r="N3" s="165">
        <v>50390000</v>
      </c>
      <c r="O3" s="165">
        <v>170000</v>
      </c>
      <c r="P3" s="163">
        <f t="shared" ref="P3:P11" si="2">+N3+O3</f>
        <v>50560000</v>
      </c>
    </row>
    <row r="4" spans="2:17" s="95" customFormat="1" ht="22.5" customHeight="1" x14ac:dyDescent="0.2">
      <c r="B4" s="107">
        <v>32123</v>
      </c>
      <c r="C4" s="116">
        <f t="shared" ca="1" si="0"/>
        <v>43005</v>
      </c>
      <c r="D4" s="126">
        <f t="shared" ca="1" si="1"/>
        <v>29</v>
      </c>
      <c r="E4" s="126" t="s">
        <v>495</v>
      </c>
      <c r="F4" s="126" t="s">
        <v>276</v>
      </c>
      <c r="G4" s="125" t="s">
        <v>293</v>
      </c>
      <c r="H4" s="126" t="s">
        <v>320</v>
      </c>
      <c r="I4" s="126">
        <v>2014</v>
      </c>
      <c r="J4" s="117" t="s">
        <v>279</v>
      </c>
      <c r="K4" s="117" t="s">
        <v>321</v>
      </c>
      <c r="L4" s="125" t="s">
        <v>322</v>
      </c>
      <c r="M4" s="125" t="s">
        <v>323</v>
      </c>
      <c r="N4" s="163">
        <v>23400000</v>
      </c>
      <c r="O4" s="163">
        <v>0</v>
      </c>
      <c r="P4" s="163">
        <f t="shared" si="2"/>
        <v>23400000</v>
      </c>
    </row>
    <row r="5" spans="2:17" s="95" customFormat="1" ht="22.5" customHeight="1" x14ac:dyDescent="0.2">
      <c r="B5" s="107">
        <v>31220</v>
      </c>
      <c r="C5" s="116">
        <f t="shared" ca="1" si="0"/>
        <v>43005</v>
      </c>
      <c r="D5" s="126">
        <f t="shared" ca="1" si="1"/>
        <v>32</v>
      </c>
      <c r="E5" s="126" t="s">
        <v>495</v>
      </c>
      <c r="F5" s="126" t="s">
        <v>276</v>
      </c>
      <c r="G5" s="125" t="s">
        <v>335</v>
      </c>
      <c r="H5" s="126" t="s">
        <v>336</v>
      </c>
      <c r="I5" s="126">
        <v>2013</v>
      </c>
      <c r="J5" s="117" t="s">
        <v>279</v>
      </c>
      <c r="K5" s="117" t="s">
        <v>332</v>
      </c>
      <c r="L5" s="125" t="s">
        <v>337</v>
      </c>
      <c r="M5" s="125" t="s">
        <v>338</v>
      </c>
      <c r="N5" s="163">
        <v>31500000</v>
      </c>
      <c r="O5" s="163">
        <v>0</v>
      </c>
      <c r="P5" s="163">
        <f t="shared" si="2"/>
        <v>31500000</v>
      </c>
    </row>
    <row r="6" spans="2:17" s="95" customFormat="1" ht="22.5" customHeight="1" x14ac:dyDescent="0.2">
      <c r="B6" s="107">
        <v>31028</v>
      </c>
      <c r="C6" s="116">
        <f t="shared" ca="1" si="0"/>
        <v>43005</v>
      </c>
      <c r="D6" s="126">
        <f t="shared" ca="1" si="1"/>
        <v>32</v>
      </c>
      <c r="E6" s="126" t="s">
        <v>495</v>
      </c>
      <c r="F6" s="126" t="s">
        <v>276</v>
      </c>
      <c r="G6" s="125" t="s">
        <v>335</v>
      </c>
      <c r="H6" s="126" t="s">
        <v>339</v>
      </c>
      <c r="I6" s="126">
        <v>2014</v>
      </c>
      <c r="J6" s="117" t="s">
        <v>279</v>
      </c>
      <c r="K6" s="117" t="s">
        <v>340</v>
      </c>
      <c r="L6" s="125" t="s">
        <v>341</v>
      </c>
      <c r="M6" s="125" t="s">
        <v>342</v>
      </c>
      <c r="N6" s="163">
        <v>39200000</v>
      </c>
      <c r="O6" s="163">
        <v>0</v>
      </c>
      <c r="P6" s="163">
        <f t="shared" si="2"/>
        <v>39200000</v>
      </c>
    </row>
    <row r="7" spans="2:17" s="95" customFormat="1" ht="22.5" customHeight="1" x14ac:dyDescent="0.2">
      <c r="B7" s="107">
        <v>30419</v>
      </c>
      <c r="C7" s="116">
        <f t="shared" ca="1" si="0"/>
        <v>43005</v>
      </c>
      <c r="D7" s="126">
        <f t="shared" ca="1" si="1"/>
        <v>34</v>
      </c>
      <c r="E7" s="126" t="s">
        <v>495</v>
      </c>
      <c r="F7" s="126" t="s">
        <v>276</v>
      </c>
      <c r="G7" s="125" t="s">
        <v>351</v>
      </c>
      <c r="H7" s="126" t="s">
        <v>352</v>
      </c>
      <c r="I7" s="126">
        <v>2014</v>
      </c>
      <c r="J7" s="117" t="s">
        <v>279</v>
      </c>
      <c r="K7" s="117" t="s">
        <v>353</v>
      </c>
      <c r="L7" s="125" t="s">
        <v>354</v>
      </c>
      <c r="M7" s="125" t="s">
        <v>355</v>
      </c>
      <c r="N7" s="163">
        <v>27000000</v>
      </c>
      <c r="O7" s="163">
        <v>0</v>
      </c>
      <c r="P7" s="163">
        <f t="shared" si="2"/>
        <v>27000000</v>
      </c>
    </row>
    <row r="8" spans="2:17" s="95" customFormat="1" ht="22.5" customHeight="1" x14ac:dyDescent="0.2">
      <c r="B8" s="107">
        <v>29990</v>
      </c>
      <c r="C8" s="116">
        <f t="shared" ca="1" si="0"/>
        <v>43005</v>
      </c>
      <c r="D8" s="126">
        <f t="shared" ca="1" si="1"/>
        <v>35</v>
      </c>
      <c r="E8" s="126" t="s">
        <v>495</v>
      </c>
      <c r="F8" s="126" t="s">
        <v>292</v>
      </c>
      <c r="G8" s="125" t="s">
        <v>283</v>
      </c>
      <c r="H8" s="126" t="s">
        <v>327</v>
      </c>
      <c r="I8" s="126">
        <v>2014</v>
      </c>
      <c r="J8" s="117" t="s">
        <v>279</v>
      </c>
      <c r="K8" s="117" t="s">
        <v>280</v>
      </c>
      <c r="L8" s="125" t="s">
        <v>328</v>
      </c>
      <c r="M8" s="125" t="s">
        <v>329</v>
      </c>
      <c r="N8" s="163">
        <v>51000000</v>
      </c>
      <c r="O8" s="163">
        <v>0</v>
      </c>
      <c r="P8" s="163">
        <f t="shared" si="2"/>
        <v>51000000</v>
      </c>
    </row>
    <row r="9" spans="2:17" s="95" customFormat="1" ht="22.5" customHeight="1" x14ac:dyDescent="0.2">
      <c r="B9" s="107">
        <v>29625</v>
      </c>
      <c r="C9" s="116">
        <f t="shared" ca="1" si="0"/>
        <v>43005</v>
      </c>
      <c r="D9" s="126">
        <f t="shared" ca="1" si="1"/>
        <v>36</v>
      </c>
      <c r="E9" s="126" t="s">
        <v>495</v>
      </c>
      <c r="F9" s="126" t="s">
        <v>276</v>
      </c>
      <c r="G9" s="125" t="s">
        <v>305</v>
      </c>
      <c r="H9" s="126" t="s">
        <v>306</v>
      </c>
      <c r="I9" s="126">
        <v>2011</v>
      </c>
      <c r="J9" s="117" t="s">
        <v>279</v>
      </c>
      <c r="K9" s="117" t="s">
        <v>285</v>
      </c>
      <c r="L9" s="125" t="s">
        <v>307</v>
      </c>
      <c r="M9" s="125" t="s">
        <v>308</v>
      </c>
      <c r="N9" s="163">
        <v>26900000</v>
      </c>
      <c r="O9" s="163">
        <v>0</v>
      </c>
      <c r="P9" s="163">
        <f t="shared" si="2"/>
        <v>26900000</v>
      </c>
    </row>
    <row r="10" spans="2:17" s="95" customFormat="1" ht="22.5" customHeight="1" x14ac:dyDescent="0.2">
      <c r="B10" s="108">
        <v>29581</v>
      </c>
      <c r="C10" s="116">
        <f t="shared" ca="1" si="0"/>
        <v>43005</v>
      </c>
      <c r="D10" s="126">
        <f t="shared" ca="1" si="1"/>
        <v>36</v>
      </c>
      <c r="E10" s="126" t="s">
        <v>494</v>
      </c>
      <c r="F10" s="126" t="s">
        <v>276</v>
      </c>
      <c r="G10" s="125" t="s">
        <v>293</v>
      </c>
      <c r="H10" s="126" t="s">
        <v>347</v>
      </c>
      <c r="I10" s="126">
        <v>2014</v>
      </c>
      <c r="J10" s="117" t="s">
        <v>279</v>
      </c>
      <c r="K10" s="117" t="s">
        <v>348</v>
      </c>
      <c r="L10" s="125" t="s">
        <v>349</v>
      </c>
      <c r="M10" s="125" t="s">
        <v>350</v>
      </c>
      <c r="N10" s="163">
        <v>21100000</v>
      </c>
      <c r="O10" s="163">
        <v>0</v>
      </c>
      <c r="P10" s="163">
        <f t="shared" si="2"/>
        <v>21100000</v>
      </c>
    </row>
    <row r="11" spans="2:17" s="95" customFormat="1" ht="22.5" customHeight="1" x14ac:dyDescent="0.2">
      <c r="B11" s="108">
        <v>29203</v>
      </c>
      <c r="C11" s="116">
        <f t="shared" ca="1" si="0"/>
        <v>43005</v>
      </c>
      <c r="D11" s="126">
        <f t="shared" ca="1" si="1"/>
        <v>37</v>
      </c>
      <c r="E11" s="126" t="s">
        <v>494</v>
      </c>
      <c r="F11" s="126" t="s">
        <v>276</v>
      </c>
      <c r="G11" s="125" t="s">
        <v>293</v>
      </c>
      <c r="H11" s="126" t="s">
        <v>387</v>
      </c>
      <c r="I11" s="126">
        <v>2016</v>
      </c>
      <c r="J11" s="117" t="s">
        <v>279</v>
      </c>
      <c r="K11" s="117" t="s">
        <v>348</v>
      </c>
      <c r="L11" s="125" t="s">
        <v>388</v>
      </c>
      <c r="M11" s="125" t="s">
        <v>389</v>
      </c>
      <c r="N11" s="163">
        <v>37800000</v>
      </c>
      <c r="O11" s="163">
        <v>0</v>
      </c>
      <c r="P11" s="163">
        <f t="shared" si="2"/>
        <v>37800000</v>
      </c>
    </row>
    <row r="12" spans="2:17" s="95" customFormat="1" ht="22.5" customHeight="1" x14ac:dyDescent="0.2">
      <c r="B12" s="108">
        <v>29111</v>
      </c>
      <c r="C12" s="116">
        <f ca="1">TODAY()</f>
        <v>43005</v>
      </c>
      <c r="D12" s="126">
        <f t="shared" ca="1" si="1"/>
        <v>38</v>
      </c>
      <c r="E12" s="126" t="s">
        <v>495</v>
      </c>
      <c r="F12" s="126" t="s">
        <v>276</v>
      </c>
      <c r="G12" s="125" t="s">
        <v>283</v>
      </c>
      <c r="H12" s="126" t="s">
        <v>284</v>
      </c>
      <c r="I12" s="126">
        <v>2012</v>
      </c>
      <c r="J12" s="117" t="s">
        <v>279</v>
      </c>
      <c r="K12" s="117" t="s">
        <v>285</v>
      </c>
      <c r="L12" s="125" t="s">
        <v>286</v>
      </c>
      <c r="M12" s="125" t="s">
        <v>287</v>
      </c>
      <c r="N12" s="163">
        <v>21300000</v>
      </c>
      <c r="O12" s="163">
        <v>0</v>
      </c>
      <c r="P12" s="163">
        <f t="shared" ref="P12:P28" si="3">+N12+O12</f>
        <v>21300000</v>
      </c>
    </row>
    <row r="13" spans="2:17" s="95" customFormat="1" ht="22.5" customHeight="1" x14ac:dyDescent="0.2">
      <c r="B13" s="108">
        <v>28880</v>
      </c>
      <c r="C13" s="116">
        <f t="shared" ca="1" si="0"/>
        <v>43005</v>
      </c>
      <c r="D13" s="126">
        <f t="shared" ca="1" si="1"/>
        <v>38</v>
      </c>
      <c r="E13" s="126" t="s">
        <v>495</v>
      </c>
      <c r="F13" s="126" t="s">
        <v>276</v>
      </c>
      <c r="G13" s="125" t="s">
        <v>375</v>
      </c>
      <c r="H13" s="126" t="s">
        <v>376</v>
      </c>
      <c r="I13" s="126">
        <v>2016</v>
      </c>
      <c r="J13" s="117" t="s">
        <v>279</v>
      </c>
      <c r="K13" s="117" t="s">
        <v>280</v>
      </c>
      <c r="L13" s="125" t="s">
        <v>377</v>
      </c>
      <c r="M13" s="125" t="s">
        <v>378</v>
      </c>
      <c r="N13" s="163">
        <v>32000000</v>
      </c>
      <c r="O13" s="163">
        <v>0</v>
      </c>
      <c r="P13" s="163">
        <f>+N13+O13</f>
        <v>32000000</v>
      </c>
    </row>
    <row r="14" spans="2:17" s="95" customFormat="1" ht="22.5" customHeight="1" x14ac:dyDescent="0.2">
      <c r="B14" s="107">
        <v>28458</v>
      </c>
      <c r="C14" s="116">
        <f t="shared" ca="1" si="0"/>
        <v>43005</v>
      </c>
      <c r="D14" s="126">
        <f t="shared" ca="1" si="1"/>
        <v>39</v>
      </c>
      <c r="E14" s="126" t="s">
        <v>494</v>
      </c>
      <c r="F14" s="126" t="s">
        <v>276</v>
      </c>
      <c r="G14" s="125" t="s">
        <v>293</v>
      </c>
      <c r="H14" s="126" t="s">
        <v>343</v>
      </c>
      <c r="I14" s="126">
        <v>2012</v>
      </c>
      <c r="J14" s="117" t="s">
        <v>279</v>
      </c>
      <c r="K14" s="117" t="s">
        <v>344</v>
      </c>
      <c r="L14" s="125" t="s">
        <v>345</v>
      </c>
      <c r="M14" s="125" t="s">
        <v>346</v>
      </c>
      <c r="N14" s="163">
        <v>24400000</v>
      </c>
      <c r="O14" s="163">
        <v>0</v>
      </c>
      <c r="P14" s="163">
        <f>+N14+O14</f>
        <v>24400000</v>
      </c>
    </row>
    <row r="15" spans="2:17" s="95" customFormat="1" ht="22.5" customHeight="1" x14ac:dyDescent="0.2">
      <c r="B15" s="108">
        <v>27857</v>
      </c>
      <c r="C15" s="116">
        <f t="shared" ca="1" si="0"/>
        <v>43005</v>
      </c>
      <c r="D15" s="126">
        <f t="shared" ca="1" si="1"/>
        <v>41</v>
      </c>
      <c r="E15" s="126" t="s">
        <v>495</v>
      </c>
      <c r="F15" s="126" t="s">
        <v>276</v>
      </c>
      <c r="G15" s="125" t="s">
        <v>351</v>
      </c>
      <c r="H15" s="126" t="s">
        <v>363</v>
      </c>
      <c r="I15" s="126">
        <v>2015</v>
      </c>
      <c r="J15" s="117" t="s">
        <v>279</v>
      </c>
      <c r="K15" s="117" t="s">
        <v>364</v>
      </c>
      <c r="L15" s="125" t="s">
        <v>365</v>
      </c>
      <c r="M15" s="125" t="s">
        <v>366</v>
      </c>
      <c r="N15" s="163">
        <v>38600000</v>
      </c>
      <c r="O15" s="163">
        <v>0</v>
      </c>
      <c r="P15" s="163">
        <f>+N15+O15</f>
        <v>38600000</v>
      </c>
    </row>
    <row r="16" spans="2:17" s="95" customFormat="1" ht="22.5" customHeight="1" x14ac:dyDescent="0.2">
      <c r="B16" s="108">
        <v>26958</v>
      </c>
      <c r="C16" s="116">
        <f t="shared" ca="1" si="0"/>
        <v>43005</v>
      </c>
      <c r="D16" s="126">
        <f t="shared" ca="1" si="1"/>
        <v>43</v>
      </c>
      <c r="E16" s="126" t="s">
        <v>495</v>
      </c>
      <c r="F16" s="126" t="s">
        <v>276</v>
      </c>
      <c r="G16" s="125" t="s">
        <v>367</v>
      </c>
      <c r="H16" s="126" t="s">
        <v>368</v>
      </c>
      <c r="I16" s="126">
        <v>2014</v>
      </c>
      <c r="J16" s="117" t="s">
        <v>279</v>
      </c>
      <c r="K16" s="117" t="s">
        <v>369</v>
      </c>
      <c r="L16" s="125" t="s">
        <v>370</v>
      </c>
      <c r="M16" s="125">
        <v>270910303522984</v>
      </c>
      <c r="N16" s="163">
        <v>70000000</v>
      </c>
      <c r="O16" s="163">
        <v>170000</v>
      </c>
      <c r="P16" s="163">
        <f>+N16+O16</f>
        <v>70170000</v>
      </c>
    </row>
    <row r="17" spans="2:17" s="95" customFormat="1" ht="22.5" customHeight="1" x14ac:dyDescent="0.2">
      <c r="B17" s="108">
        <v>27296</v>
      </c>
      <c r="C17" s="116">
        <f t="shared" ca="1" si="0"/>
        <v>43005</v>
      </c>
      <c r="D17" s="126">
        <f t="shared" ca="1" si="1"/>
        <v>43</v>
      </c>
      <c r="E17" s="126" t="s">
        <v>495</v>
      </c>
      <c r="F17" s="126" t="s">
        <v>292</v>
      </c>
      <c r="G17" s="125" t="s">
        <v>335</v>
      </c>
      <c r="H17" s="126" t="s">
        <v>379</v>
      </c>
      <c r="I17" s="126">
        <v>2015</v>
      </c>
      <c r="J17" s="117" t="s">
        <v>279</v>
      </c>
      <c r="K17" s="117" t="s">
        <v>380</v>
      </c>
      <c r="L17" s="125" t="s">
        <v>381</v>
      </c>
      <c r="M17" s="125" t="s">
        <v>382</v>
      </c>
      <c r="N17" s="163">
        <v>48900000</v>
      </c>
      <c r="O17" s="163">
        <v>0</v>
      </c>
      <c r="P17" s="163">
        <f>+N17+O17</f>
        <v>48900000</v>
      </c>
    </row>
    <row r="18" spans="2:17" s="95" customFormat="1" ht="22.5" customHeight="1" x14ac:dyDescent="0.2">
      <c r="B18" s="107">
        <v>25978</v>
      </c>
      <c r="C18" s="116">
        <f t="shared" ca="1" si="0"/>
        <v>43005</v>
      </c>
      <c r="D18" s="126">
        <f t="shared" ref="D18:D28" ca="1" si="4">INT((C18-B18)/365)</f>
        <v>46</v>
      </c>
      <c r="E18" s="126" t="s">
        <v>495</v>
      </c>
      <c r="F18" s="126" t="s">
        <v>276</v>
      </c>
      <c r="G18" s="125" t="s">
        <v>300</v>
      </c>
      <c r="H18" s="126" t="s">
        <v>301</v>
      </c>
      <c r="I18" s="126">
        <v>2013</v>
      </c>
      <c r="J18" s="117" t="s">
        <v>279</v>
      </c>
      <c r="K18" s="117" t="s">
        <v>302</v>
      </c>
      <c r="L18" s="125" t="s">
        <v>303</v>
      </c>
      <c r="M18" s="125" t="s">
        <v>304</v>
      </c>
      <c r="N18" s="163">
        <v>63900000</v>
      </c>
      <c r="O18" s="163">
        <v>0</v>
      </c>
      <c r="P18" s="163">
        <f t="shared" si="3"/>
        <v>63900000</v>
      </c>
    </row>
    <row r="19" spans="2:17" s="95" customFormat="1" ht="22.5" customHeight="1" x14ac:dyDescent="0.2">
      <c r="B19" s="107">
        <v>25695</v>
      </c>
      <c r="C19" s="116">
        <f t="shared" ca="1" si="0"/>
        <v>43005</v>
      </c>
      <c r="D19" s="126">
        <f ca="1">INT((C19-B19)/365)</f>
        <v>47</v>
      </c>
      <c r="E19" s="126" t="s">
        <v>494</v>
      </c>
      <c r="F19" s="126" t="s">
        <v>292</v>
      </c>
      <c r="G19" s="125" t="s">
        <v>330</v>
      </c>
      <c r="H19" s="126" t="s">
        <v>331</v>
      </c>
      <c r="I19" s="126">
        <v>2013</v>
      </c>
      <c r="J19" s="117" t="s">
        <v>279</v>
      </c>
      <c r="K19" s="117" t="s">
        <v>332</v>
      </c>
      <c r="L19" s="125" t="s">
        <v>333</v>
      </c>
      <c r="M19" s="125" t="s">
        <v>334</v>
      </c>
      <c r="N19" s="163">
        <v>73700000</v>
      </c>
      <c r="O19" s="163">
        <v>0</v>
      </c>
      <c r="P19" s="163">
        <f>+N19+O19</f>
        <v>73700000</v>
      </c>
    </row>
    <row r="20" spans="2:17" s="95" customFormat="1" ht="22.5" customHeight="1" x14ac:dyDescent="0.2">
      <c r="B20" s="107">
        <v>25627</v>
      </c>
      <c r="C20" s="116">
        <f t="shared" ca="1" si="0"/>
        <v>43005</v>
      </c>
      <c r="D20" s="126">
        <f ca="1">INT((C20-B20)/365)</f>
        <v>47</v>
      </c>
      <c r="E20" s="126" t="s">
        <v>495</v>
      </c>
      <c r="F20" s="126" t="s">
        <v>276</v>
      </c>
      <c r="G20" s="125" t="s">
        <v>359</v>
      </c>
      <c r="H20" s="126" t="s">
        <v>360</v>
      </c>
      <c r="I20" s="126">
        <v>2014</v>
      </c>
      <c r="J20" s="117" t="s">
        <v>279</v>
      </c>
      <c r="K20" s="117" t="s">
        <v>285</v>
      </c>
      <c r="L20" s="125" t="s">
        <v>361</v>
      </c>
      <c r="M20" s="125" t="s">
        <v>362</v>
      </c>
      <c r="N20" s="163">
        <v>34200000</v>
      </c>
      <c r="O20" s="163">
        <v>0</v>
      </c>
      <c r="P20" s="163">
        <f>+N20+O20</f>
        <v>34200000</v>
      </c>
    </row>
    <row r="21" spans="2:17" s="95" customFormat="1" ht="22.5" customHeight="1" x14ac:dyDescent="0.2">
      <c r="B21" s="109">
        <v>25581</v>
      </c>
      <c r="C21" s="116">
        <f t="shared" ca="1" si="0"/>
        <v>43005</v>
      </c>
      <c r="D21" s="126">
        <f ca="1">INT((C21-B21)/365)</f>
        <v>47</v>
      </c>
      <c r="E21" s="126" t="s">
        <v>494</v>
      </c>
      <c r="F21" s="126" t="s">
        <v>288</v>
      </c>
      <c r="G21" s="125" t="s">
        <v>289</v>
      </c>
      <c r="H21" s="126" t="s">
        <v>371</v>
      </c>
      <c r="I21" s="126">
        <v>2014</v>
      </c>
      <c r="J21" s="117" t="s">
        <v>279</v>
      </c>
      <c r="K21" s="117" t="s">
        <v>372</v>
      </c>
      <c r="L21" s="125" t="s">
        <v>373</v>
      </c>
      <c r="M21" s="125">
        <v>1385710</v>
      </c>
      <c r="N21" s="163">
        <v>78200000</v>
      </c>
      <c r="O21" s="163">
        <v>0</v>
      </c>
      <c r="P21" s="163">
        <f>+N21+O21</f>
        <v>78200000</v>
      </c>
    </row>
    <row r="22" spans="2:17" s="95" customFormat="1" ht="22.5" customHeight="1" x14ac:dyDescent="0.2">
      <c r="B22" s="108">
        <v>24619</v>
      </c>
      <c r="C22" s="116">
        <f t="shared" ca="1" si="0"/>
        <v>43005</v>
      </c>
      <c r="D22" s="126">
        <f ca="1">INT((C22-B22)/365)</f>
        <v>50</v>
      </c>
      <c r="E22" s="126" t="s">
        <v>495</v>
      </c>
      <c r="F22" s="126" t="s">
        <v>276</v>
      </c>
      <c r="G22" s="125" t="s">
        <v>383</v>
      </c>
      <c r="H22" s="126" t="s">
        <v>384</v>
      </c>
      <c r="I22" s="126">
        <v>2012</v>
      </c>
      <c r="J22" s="117" t="s">
        <v>279</v>
      </c>
      <c r="K22" s="117" t="s">
        <v>385</v>
      </c>
      <c r="L22" s="125" t="s">
        <v>386</v>
      </c>
      <c r="M22" s="125">
        <v>1760717</v>
      </c>
      <c r="N22" s="163">
        <v>60000000</v>
      </c>
      <c r="O22" s="163">
        <v>0</v>
      </c>
      <c r="P22" s="163">
        <f>+N22+O22</f>
        <v>60000000</v>
      </c>
    </row>
    <row r="23" spans="2:17" s="95" customFormat="1" ht="22.5" customHeight="1" x14ac:dyDescent="0.2">
      <c r="B23" s="107">
        <v>24348</v>
      </c>
      <c r="C23" s="116">
        <f t="shared" ca="1" si="0"/>
        <v>43005</v>
      </c>
      <c r="D23" s="126">
        <f ca="1">INT((C23-B23)/365)</f>
        <v>51</v>
      </c>
      <c r="E23" s="126" t="s">
        <v>494</v>
      </c>
      <c r="F23" s="126" t="s">
        <v>276</v>
      </c>
      <c r="G23" s="125" t="s">
        <v>297</v>
      </c>
      <c r="H23" s="126" t="s">
        <v>313</v>
      </c>
      <c r="I23" s="126">
        <v>2014</v>
      </c>
      <c r="J23" s="117" t="s">
        <v>279</v>
      </c>
      <c r="K23" s="117" t="s">
        <v>285</v>
      </c>
      <c r="L23" s="125" t="s">
        <v>314</v>
      </c>
      <c r="M23" s="125" t="s">
        <v>315</v>
      </c>
      <c r="N23" s="163">
        <v>29600000</v>
      </c>
      <c r="O23" s="163">
        <v>0</v>
      </c>
      <c r="P23" s="163">
        <f>+N23+O23</f>
        <v>29600000</v>
      </c>
    </row>
    <row r="24" spans="2:17" s="95" customFormat="1" ht="22.5" customHeight="1" x14ac:dyDescent="0.2">
      <c r="B24" s="107">
        <v>23654</v>
      </c>
      <c r="C24" s="116">
        <f t="shared" ca="1" si="0"/>
        <v>43005</v>
      </c>
      <c r="D24" s="126">
        <f t="shared" ca="1" si="4"/>
        <v>53</v>
      </c>
      <c r="E24" s="126" t="s">
        <v>495</v>
      </c>
      <c r="F24" s="126" t="s">
        <v>276</v>
      </c>
      <c r="G24" s="125" t="s">
        <v>283</v>
      </c>
      <c r="H24" s="126" t="s">
        <v>309</v>
      </c>
      <c r="I24" s="126">
        <v>2013</v>
      </c>
      <c r="J24" s="117" t="s">
        <v>279</v>
      </c>
      <c r="K24" s="117" t="s">
        <v>310</v>
      </c>
      <c r="L24" s="125" t="s">
        <v>311</v>
      </c>
      <c r="M24" s="125" t="s">
        <v>312</v>
      </c>
      <c r="N24" s="163">
        <v>31200000</v>
      </c>
      <c r="O24" s="163">
        <v>0</v>
      </c>
      <c r="P24" s="163">
        <f t="shared" si="3"/>
        <v>31200000</v>
      </c>
    </row>
    <row r="25" spans="2:17" s="95" customFormat="1" ht="22.5" customHeight="1" x14ac:dyDescent="0.2">
      <c r="B25" s="107">
        <v>23784</v>
      </c>
      <c r="C25" s="116">
        <f t="shared" ca="1" si="0"/>
        <v>43005</v>
      </c>
      <c r="D25" s="126">
        <f ca="1">INT((C25-B25)/365)</f>
        <v>52</v>
      </c>
      <c r="E25" s="126" t="s">
        <v>494</v>
      </c>
      <c r="F25" s="126" t="s">
        <v>292</v>
      </c>
      <c r="G25" s="125" t="s">
        <v>293</v>
      </c>
      <c r="H25" s="126" t="s">
        <v>324</v>
      </c>
      <c r="I25" s="126">
        <v>2014</v>
      </c>
      <c r="J25" s="117" t="s">
        <v>279</v>
      </c>
      <c r="K25" s="117" t="s">
        <v>321</v>
      </c>
      <c r="L25" s="125" t="s">
        <v>325</v>
      </c>
      <c r="M25" s="125" t="s">
        <v>326</v>
      </c>
      <c r="N25" s="163">
        <v>39000000</v>
      </c>
      <c r="O25" s="163">
        <v>0</v>
      </c>
      <c r="P25" s="163">
        <f>+N25+O25</f>
        <v>39000000</v>
      </c>
    </row>
    <row r="26" spans="2:17" s="98" customFormat="1" ht="22.5" customHeight="1" x14ac:dyDescent="0.2">
      <c r="B26" s="108">
        <v>23766</v>
      </c>
      <c r="C26" s="116">
        <f t="shared" ca="1" si="0"/>
        <v>43005</v>
      </c>
      <c r="D26" s="126">
        <f ca="1">INT((C26-B26)/365)</f>
        <v>52</v>
      </c>
      <c r="E26" s="143" t="s">
        <v>495</v>
      </c>
      <c r="F26" s="143" t="s">
        <v>292</v>
      </c>
      <c r="G26" s="156" t="s">
        <v>297</v>
      </c>
      <c r="H26" s="143" t="s">
        <v>471</v>
      </c>
      <c r="I26" s="143">
        <v>2014</v>
      </c>
      <c r="J26" s="118" t="s">
        <v>279</v>
      </c>
      <c r="K26" s="118" t="s">
        <v>390</v>
      </c>
      <c r="L26" s="156" t="s">
        <v>391</v>
      </c>
      <c r="M26" s="156" t="s">
        <v>392</v>
      </c>
      <c r="N26" s="165">
        <v>65700000</v>
      </c>
      <c r="O26" s="165">
        <v>370000</v>
      </c>
      <c r="P26" s="165">
        <f>+N26+O26</f>
        <v>66070000</v>
      </c>
    </row>
    <row r="27" spans="2:17" s="95" customFormat="1" ht="22.5" customHeight="1" x14ac:dyDescent="0.2">
      <c r="B27" s="108">
        <v>22883</v>
      </c>
      <c r="C27" s="116">
        <f t="shared" ca="1" si="0"/>
        <v>43005</v>
      </c>
      <c r="D27" s="126">
        <f ca="1">INT((C27-B27)/365)</f>
        <v>55</v>
      </c>
      <c r="E27" s="126" t="s">
        <v>494</v>
      </c>
      <c r="F27" s="126" t="s">
        <v>288</v>
      </c>
      <c r="G27" s="125" t="s">
        <v>294</v>
      </c>
      <c r="H27" s="126" t="s">
        <v>356</v>
      </c>
      <c r="I27" s="126">
        <v>2014</v>
      </c>
      <c r="J27" s="117" t="s">
        <v>279</v>
      </c>
      <c r="K27" s="117" t="s">
        <v>357</v>
      </c>
      <c r="L27" s="125" t="s">
        <v>358</v>
      </c>
      <c r="M27" s="164">
        <v>1.619511002402E+117</v>
      </c>
      <c r="N27" s="163">
        <v>42800000</v>
      </c>
      <c r="O27" s="163">
        <v>0</v>
      </c>
      <c r="P27" s="163">
        <f>+N27+O27</f>
        <v>42800000</v>
      </c>
    </row>
    <row r="28" spans="2:17" s="95" customFormat="1" ht="22.5" customHeight="1" x14ac:dyDescent="0.2">
      <c r="B28" s="107">
        <v>19864</v>
      </c>
      <c r="C28" s="116">
        <f t="shared" ca="1" si="0"/>
        <v>43005</v>
      </c>
      <c r="D28" s="126">
        <f t="shared" ca="1" si="4"/>
        <v>63</v>
      </c>
      <c r="E28" s="126" t="s">
        <v>494</v>
      </c>
      <c r="F28" s="126" t="s">
        <v>292</v>
      </c>
      <c r="G28" s="125" t="s">
        <v>283</v>
      </c>
      <c r="H28" s="126" t="s">
        <v>316</v>
      </c>
      <c r="I28" s="126">
        <v>2014</v>
      </c>
      <c r="J28" s="117" t="s">
        <v>279</v>
      </c>
      <c r="K28" s="117" t="s">
        <v>317</v>
      </c>
      <c r="L28" s="125" t="s">
        <v>318</v>
      </c>
      <c r="M28" s="125" t="s">
        <v>319</v>
      </c>
      <c r="N28" s="163">
        <v>51000000</v>
      </c>
      <c r="O28" s="163">
        <v>0</v>
      </c>
      <c r="P28" s="163">
        <f t="shared" si="3"/>
        <v>51000000</v>
      </c>
    </row>
    <row r="29" spans="2:17" s="95" customFormat="1" ht="22.5" customHeight="1" x14ac:dyDescent="0.2">
      <c r="B29" s="119"/>
      <c r="C29" s="119"/>
      <c r="D29" s="120"/>
      <c r="E29" s="119"/>
      <c r="F29" s="120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workbookViewId="0">
      <selection activeCell="M6" sqref="M6"/>
    </sheetView>
  </sheetViews>
  <sheetFormatPr baseColWidth="10" defaultRowHeight="24" customHeight="1" x14ac:dyDescent="0.2"/>
  <cols>
    <col min="1" max="1" width="11.42578125" style="94"/>
    <col min="2" max="4" width="14.28515625" style="121" customWidth="1"/>
    <col min="5" max="5" width="39" style="113" customWidth="1"/>
    <col min="6" max="6" width="14.42578125" style="121" customWidth="1"/>
    <col min="7" max="7" width="18.42578125" style="113" bestFit="1" customWidth="1"/>
    <col min="8" max="8" width="11.140625" style="113" bestFit="1" customWidth="1"/>
    <col min="9" max="10" width="11.42578125" style="113"/>
    <col min="11" max="11" width="22.7109375" style="113" customWidth="1"/>
    <col min="12" max="12" width="22.28515625" style="113" bestFit="1" customWidth="1"/>
    <col min="13" max="13" width="17.85546875" style="113" bestFit="1" customWidth="1"/>
    <col min="14" max="14" width="19.28515625" style="113" hidden="1" customWidth="1"/>
    <col min="15" max="15" width="24.85546875" style="113" customWidth="1"/>
    <col min="16" max="16384" width="11.42578125" style="94"/>
  </cols>
  <sheetData>
    <row r="2" spans="2:15" ht="24" customHeight="1" x14ac:dyDescent="0.2">
      <c r="B2" s="162" t="s">
        <v>0</v>
      </c>
      <c r="C2" s="162" t="s">
        <v>493</v>
      </c>
      <c r="D2" s="162" t="s">
        <v>458</v>
      </c>
      <c r="E2" s="162" t="s">
        <v>492</v>
      </c>
      <c r="F2" s="162" t="s">
        <v>266</v>
      </c>
      <c r="G2" s="162" t="s">
        <v>267</v>
      </c>
      <c r="H2" s="162" t="s">
        <v>268</v>
      </c>
      <c r="I2" s="162" t="s">
        <v>269</v>
      </c>
      <c r="J2" s="162" t="s">
        <v>272</v>
      </c>
      <c r="K2" s="162" t="s">
        <v>273</v>
      </c>
      <c r="L2" s="162" t="s">
        <v>186</v>
      </c>
      <c r="M2" s="162" t="s">
        <v>274</v>
      </c>
      <c r="N2" s="162" t="s">
        <v>393</v>
      </c>
      <c r="O2" s="94"/>
    </row>
    <row r="3" spans="2:15" ht="24" customHeight="1" x14ac:dyDescent="0.2">
      <c r="B3" s="146">
        <v>31013</v>
      </c>
      <c r="C3" s="166">
        <f t="shared" ref="C3:C36" ca="1" si="0">TODAY()</f>
        <v>43005</v>
      </c>
      <c r="D3" s="169">
        <f t="shared" ref="D3:D30" ca="1" si="1">INT((C3-B3)/365)</f>
        <v>32</v>
      </c>
      <c r="E3" s="169" t="s">
        <v>495</v>
      </c>
      <c r="F3" s="169" t="s">
        <v>276</v>
      </c>
      <c r="G3" s="171" t="s">
        <v>305</v>
      </c>
      <c r="H3" s="169" t="s">
        <v>440</v>
      </c>
      <c r="I3" s="169">
        <v>2011</v>
      </c>
      <c r="J3" s="170" t="s">
        <v>441</v>
      </c>
      <c r="K3" s="170" t="s">
        <v>442</v>
      </c>
      <c r="L3" s="172">
        <v>21700000</v>
      </c>
      <c r="M3" s="172">
        <v>0</v>
      </c>
      <c r="N3" s="172">
        <f>+L3+M3</f>
        <v>21700000</v>
      </c>
      <c r="O3" s="94"/>
    </row>
    <row r="4" spans="2:15" ht="24" customHeight="1" x14ac:dyDescent="0.2">
      <c r="B4" s="146">
        <v>30879</v>
      </c>
      <c r="C4" s="166">
        <f t="shared" ca="1" si="0"/>
        <v>43005</v>
      </c>
      <c r="D4" s="169">
        <f t="shared" ca="1" si="1"/>
        <v>33</v>
      </c>
      <c r="E4" s="169" t="s">
        <v>495</v>
      </c>
      <c r="F4" s="169" t="s">
        <v>288</v>
      </c>
      <c r="G4" s="171" t="s">
        <v>335</v>
      </c>
      <c r="H4" s="169" t="s">
        <v>425</v>
      </c>
      <c r="I4" s="169">
        <v>2012</v>
      </c>
      <c r="J4" s="170" t="s">
        <v>426</v>
      </c>
      <c r="K4" s="170" t="s">
        <v>427</v>
      </c>
      <c r="L4" s="172">
        <v>46800000</v>
      </c>
      <c r="M4" s="172">
        <v>0</v>
      </c>
      <c r="N4" s="172">
        <f>+L4+M4</f>
        <v>46800000</v>
      </c>
      <c r="O4" s="94"/>
    </row>
    <row r="5" spans="2:15" s="104" customFormat="1" ht="24" customHeight="1" x14ac:dyDescent="0.2">
      <c r="B5" s="146">
        <v>30682</v>
      </c>
      <c r="C5" s="166">
        <f t="shared" ca="1" si="0"/>
        <v>43005</v>
      </c>
      <c r="D5" s="169">
        <f t="shared" ca="1" si="1"/>
        <v>33</v>
      </c>
      <c r="E5" s="143" t="s">
        <v>495</v>
      </c>
      <c r="F5" s="143" t="s">
        <v>276</v>
      </c>
      <c r="G5" s="156" t="s">
        <v>335</v>
      </c>
      <c r="H5" s="143" t="s">
        <v>487</v>
      </c>
      <c r="I5" s="143">
        <v>2011</v>
      </c>
      <c r="J5" s="160" t="s">
        <v>488</v>
      </c>
      <c r="K5" s="160" t="s">
        <v>488</v>
      </c>
      <c r="L5" s="165"/>
      <c r="M5" s="174">
        <v>170000</v>
      </c>
      <c r="N5" s="165"/>
    </row>
    <row r="6" spans="2:15" ht="24" customHeight="1" x14ac:dyDescent="0.2">
      <c r="B6" s="136">
        <v>30438</v>
      </c>
      <c r="C6" s="166">
        <f t="shared" ca="1" si="0"/>
        <v>43005</v>
      </c>
      <c r="D6" s="169">
        <f t="shared" ca="1" si="1"/>
        <v>34</v>
      </c>
      <c r="E6" s="169" t="s">
        <v>495</v>
      </c>
      <c r="F6" s="169" t="s">
        <v>276</v>
      </c>
      <c r="G6" s="171" t="s">
        <v>305</v>
      </c>
      <c r="H6" s="169" t="s">
        <v>415</v>
      </c>
      <c r="I6" s="169">
        <v>2007</v>
      </c>
      <c r="J6" s="170" t="s">
        <v>416</v>
      </c>
      <c r="K6" s="170" t="s">
        <v>417</v>
      </c>
      <c r="L6" s="172">
        <v>12300000</v>
      </c>
      <c r="M6" s="172">
        <v>0</v>
      </c>
      <c r="N6" s="172">
        <f>+L6+M6</f>
        <v>12300000</v>
      </c>
      <c r="O6" s="94"/>
    </row>
    <row r="7" spans="2:15" ht="24" customHeight="1" x14ac:dyDescent="0.2">
      <c r="B7" s="146">
        <v>30186</v>
      </c>
      <c r="C7" s="166">
        <f t="shared" ca="1" si="0"/>
        <v>43005</v>
      </c>
      <c r="D7" s="169">
        <f t="shared" ca="1" si="1"/>
        <v>35</v>
      </c>
      <c r="E7" s="169" t="s">
        <v>494</v>
      </c>
      <c r="F7" s="169" t="s">
        <v>276</v>
      </c>
      <c r="G7" s="171" t="s">
        <v>293</v>
      </c>
      <c r="H7" s="169" t="s">
        <v>422</v>
      </c>
      <c r="I7" s="169">
        <v>2011</v>
      </c>
      <c r="J7" s="170" t="s">
        <v>423</v>
      </c>
      <c r="K7" s="170" t="s">
        <v>424</v>
      </c>
      <c r="L7" s="172">
        <v>18500000</v>
      </c>
      <c r="M7" s="172">
        <v>0</v>
      </c>
      <c r="N7" s="172">
        <f>+L7+M7</f>
        <v>18500000</v>
      </c>
      <c r="O7" s="94"/>
    </row>
    <row r="8" spans="2:15" ht="24" customHeight="1" x14ac:dyDescent="0.2">
      <c r="B8" s="146">
        <v>29990</v>
      </c>
      <c r="C8" s="166">
        <f t="shared" ca="1" si="0"/>
        <v>43005</v>
      </c>
      <c r="D8" s="169">
        <f t="shared" ca="1" si="1"/>
        <v>35</v>
      </c>
      <c r="E8" s="169" t="s">
        <v>495</v>
      </c>
      <c r="F8" s="169" t="s">
        <v>276</v>
      </c>
      <c r="G8" s="171" t="s">
        <v>291</v>
      </c>
      <c r="H8" s="169" t="s">
        <v>431</v>
      </c>
      <c r="I8" s="169">
        <v>2007</v>
      </c>
      <c r="J8" s="170" t="s">
        <v>432</v>
      </c>
      <c r="K8" s="170" t="s">
        <v>433</v>
      </c>
      <c r="L8" s="172">
        <v>13000000</v>
      </c>
      <c r="M8" s="172">
        <v>370000</v>
      </c>
      <c r="N8" s="172">
        <f>+L8+M8</f>
        <v>13370000</v>
      </c>
      <c r="O8" s="94"/>
    </row>
    <row r="9" spans="2:15" s="104" customFormat="1" ht="24" customHeight="1" x14ac:dyDescent="0.2">
      <c r="B9" s="146">
        <v>30026</v>
      </c>
      <c r="C9" s="166">
        <f t="shared" ca="1" si="0"/>
        <v>43005</v>
      </c>
      <c r="D9" s="169">
        <f t="shared" ca="1" si="1"/>
        <v>35</v>
      </c>
      <c r="E9" s="143" t="s">
        <v>495</v>
      </c>
      <c r="F9" s="143" t="s">
        <v>276</v>
      </c>
      <c r="G9" s="156" t="s">
        <v>293</v>
      </c>
      <c r="H9" s="143" t="s">
        <v>489</v>
      </c>
      <c r="I9" s="143">
        <v>2017</v>
      </c>
      <c r="J9" s="160" t="s">
        <v>490</v>
      </c>
      <c r="K9" s="160" t="s">
        <v>491</v>
      </c>
      <c r="L9" s="165"/>
      <c r="M9" s="174">
        <v>170000</v>
      </c>
      <c r="N9" s="165"/>
    </row>
    <row r="10" spans="2:15" s="104" customFormat="1" ht="24" customHeight="1" x14ac:dyDescent="0.2">
      <c r="B10" s="146">
        <v>29729</v>
      </c>
      <c r="C10" s="166">
        <f t="shared" ca="1" si="0"/>
        <v>43005</v>
      </c>
      <c r="D10" s="169">
        <f t="shared" ca="1" si="1"/>
        <v>36</v>
      </c>
      <c r="E10" s="167" t="s">
        <v>494</v>
      </c>
      <c r="F10" s="167" t="s">
        <v>276</v>
      </c>
      <c r="G10" s="173" t="s">
        <v>305</v>
      </c>
      <c r="H10" s="167" t="s">
        <v>473</v>
      </c>
      <c r="I10" s="167">
        <v>2011</v>
      </c>
      <c r="J10" s="173" t="s">
        <v>474</v>
      </c>
      <c r="K10" s="160" t="s">
        <v>475</v>
      </c>
      <c r="L10" s="174">
        <v>25300000</v>
      </c>
      <c r="M10" s="174">
        <v>0</v>
      </c>
      <c r="N10" s="174">
        <f t="shared" ref="N10" si="2">+L10+M10</f>
        <v>25300000</v>
      </c>
    </row>
    <row r="11" spans="2:15" ht="24" customHeight="1" x14ac:dyDescent="0.2">
      <c r="B11" s="133">
        <v>28608</v>
      </c>
      <c r="C11" s="166">
        <f t="shared" ca="1" si="0"/>
        <v>43005</v>
      </c>
      <c r="D11" s="169">
        <f t="shared" ca="1" si="1"/>
        <v>39</v>
      </c>
      <c r="E11" s="169" t="s">
        <v>494</v>
      </c>
      <c r="F11" s="169" t="s">
        <v>292</v>
      </c>
      <c r="G11" s="171" t="s">
        <v>283</v>
      </c>
      <c r="H11" s="169" t="s">
        <v>449</v>
      </c>
      <c r="I11" s="169">
        <v>2011</v>
      </c>
      <c r="J11" s="170" t="s">
        <v>450</v>
      </c>
      <c r="K11" s="170" t="s">
        <v>451</v>
      </c>
      <c r="L11" s="172">
        <v>40500000</v>
      </c>
      <c r="M11" s="172">
        <v>0</v>
      </c>
      <c r="N11" s="172">
        <f>+L11+M11</f>
        <v>40500000</v>
      </c>
      <c r="O11" s="94"/>
    </row>
    <row r="12" spans="2:15" ht="24" customHeight="1" x14ac:dyDescent="0.2">
      <c r="B12" s="146">
        <v>28054</v>
      </c>
      <c r="C12" s="166">
        <f t="shared" ca="1" si="0"/>
        <v>43005</v>
      </c>
      <c r="D12" s="169">
        <f t="shared" ca="1" si="1"/>
        <v>40</v>
      </c>
      <c r="E12" s="169" t="s">
        <v>494</v>
      </c>
      <c r="F12" s="169" t="s">
        <v>292</v>
      </c>
      <c r="G12" s="171" t="s">
        <v>418</v>
      </c>
      <c r="H12" s="169" t="s">
        <v>452</v>
      </c>
      <c r="I12" s="169">
        <v>2012</v>
      </c>
      <c r="J12" s="170" t="s">
        <v>453</v>
      </c>
      <c r="K12" s="170" t="s">
        <v>453</v>
      </c>
      <c r="L12" s="172">
        <v>40400000</v>
      </c>
      <c r="M12" s="172">
        <v>0</v>
      </c>
      <c r="N12" s="172">
        <f>+L12+M12</f>
        <v>40400000</v>
      </c>
      <c r="O12" s="94"/>
    </row>
    <row r="13" spans="2:15" ht="24" customHeight="1" x14ac:dyDescent="0.2">
      <c r="B13" s="146">
        <v>28054</v>
      </c>
      <c r="C13" s="166">
        <f t="shared" ca="1" si="0"/>
        <v>43005</v>
      </c>
      <c r="D13" s="169">
        <f t="shared" ca="1" si="1"/>
        <v>40</v>
      </c>
      <c r="E13" s="169" t="s">
        <v>494</v>
      </c>
      <c r="F13" s="169" t="s">
        <v>276</v>
      </c>
      <c r="G13" s="171" t="s">
        <v>283</v>
      </c>
      <c r="H13" s="169" t="s">
        <v>454</v>
      </c>
      <c r="I13" s="169">
        <v>2014</v>
      </c>
      <c r="J13" s="170" t="s">
        <v>455</v>
      </c>
      <c r="K13" s="170" t="s">
        <v>456</v>
      </c>
      <c r="L13" s="172">
        <v>37700000</v>
      </c>
      <c r="M13" s="172">
        <v>0</v>
      </c>
      <c r="N13" s="172">
        <f>+L13+M13</f>
        <v>37700000</v>
      </c>
      <c r="O13" s="94"/>
    </row>
    <row r="14" spans="2:15" s="104" customFormat="1" ht="24" customHeight="1" x14ac:dyDescent="0.2">
      <c r="B14" s="168">
        <v>28395</v>
      </c>
      <c r="C14" s="166">
        <f t="shared" ca="1" si="0"/>
        <v>43005</v>
      </c>
      <c r="D14" s="169">
        <f t="shared" ca="1" si="1"/>
        <v>40</v>
      </c>
      <c r="E14" s="167" t="s">
        <v>494</v>
      </c>
      <c r="F14" s="167" t="s">
        <v>276</v>
      </c>
      <c r="G14" s="173" t="s">
        <v>277</v>
      </c>
      <c r="H14" s="167" t="s">
        <v>470</v>
      </c>
      <c r="I14" s="167">
        <v>2011</v>
      </c>
      <c r="J14" s="173" t="s">
        <v>462</v>
      </c>
      <c r="K14" s="160" t="s">
        <v>463</v>
      </c>
      <c r="L14" s="174">
        <v>30300000</v>
      </c>
      <c r="M14" s="174">
        <v>0</v>
      </c>
      <c r="N14" s="174">
        <f>+L14+M14</f>
        <v>30300000</v>
      </c>
    </row>
    <row r="15" spans="2:15" s="104" customFormat="1" ht="24" customHeight="1" x14ac:dyDescent="0.2">
      <c r="B15" s="146">
        <v>27848</v>
      </c>
      <c r="C15" s="166">
        <f t="shared" ca="1" si="0"/>
        <v>43005</v>
      </c>
      <c r="D15" s="169">
        <f t="shared" ca="1" si="1"/>
        <v>41</v>
      </c>
      <c r="E15" s="167" t="s">
        <v>494</v>
      </c>
      <c r="F15" s="167" t="s">
        <v>276</v>
      </c>
      <c r="G15" s="173" t="s">
        <v>283</v>
      </c>
      <c r="H15" s="167" t="s">
        <v>469</v>
      </c>
      <c r="I15" s="167">
        <v>2011</v>
      </c>
      <c r="J15" s="173" t="s">
        <v>462</v>
      </c>
      <c r="K15" s="160" t="s">
        <v>463</v>
      </c>
      <c r="L15" s="174">
        <v>23800000</v>
      </c>
      <c r="M15" s="174">
        <v>0</v>
      </c>
      <c r="N15" s="174">
        <f t="shared" ref="N15" si="3">+L15+M15</f>
        <v>23800000</v>
      </c>
    </row>
    <row r="16" spans="2:15" s="104" customFormat="1" ht="24" customHeight="1" x14ac:dyDescent="0.2">
      <c r="B16" s="146">
        <v>27841</v>
      </c>
      <c r="C16" s="166">
        <f t="shared" ca="1" si="0"/>
        <v>43005</v>
      </c>
      <c r="D16" s="169">
        <f t="shared" ca="1" si="1"/>
        <v>41</v>
      </c>
      <c r="E16" s="143" t="s">
        <v>495</v>
      </c>
      <c r="F16" s="143" t="s">
        <v>276</v>
      </c>
      <c r="G16" s="156" t="s">
        <v>277</v>
      </c>
      <c r="H16" s="143" t="s">
        <v>299</v>
      </c>
      <c r="I16" s="143">
        <v>2013</v>
      </c>
      <c r="J16" s="160" t="s">
        <v>486</v>
      </c>
      <c r="K16" s="160" t="s">
        <v>486</v>
      </c>
      <c r="L16" s="165">
        <v>36240000</v>
      </c>
      <c r="M16" s="174">
        <v>170000</v>
      </c>
      <c r="N16" s="165">
        <v>36240000</v>
      </c>
    </row>
    <row r="17" spans="2:15" ht="24" customHeight="1" x14ac:dyDescent="0.2">
      <c r="B17" s="108">
        <v>26958</v>
      </c>
      <c r="C17" s="166">
        <f t="shared" ca="1" si="0"/>
        <v>43005</v>
      </c>
      <c r="D17" s="169">
        <f t="shared" ca="1" si="1"/>
        <v>43</v>
      </c>
      <c r="E17" s="169" t="s">
        <v>495</v>
      </c>
      <c r="F17" s="169" t="s">
        <v>292</v>
      </c>
      <c r="G17" s="171" t="s">
        <v>335</v>
      </c>
      <c r="H17" s="169" t="s">
        <v>437</v>
      </c>
      <c r="I17" s="169">
        <v>2007</v>
      </c>
      <c r="J17" s="170" t="s">
        <v>438</v>
      </c>
      <c r="K17" s="170" t="s">
        <v>439</v>
      </c>
      <c r="L17" s="172">
        <v>23900000</v>
      </c>
      <c r="M17" s="172">
        <v>0</v>
      </c>
      <c r="N17" s="172">
        <f>+L17+M17</f>
        <v>23900000</v>
      </c>
      <c r="O17" s="94"/>
    </row>
    <row r="18" spans="2:15" s="104" customFormat="1" ht="24" customHeight="1" x14ac:dyDescent="0.2">
      <c r="B18" s="146">
        <v>27088</v>
      </c>
      <c r="C18" s="166">
        <f t="shared" ca="1" si="0"/>
        <v>43005</v>
      </c>
      <c r="D18" s="169">
        <f t="shared" ca="1" si="1"/>
        <v>43</v>
      </c>
      <c r="E18" s="143" t="s">
        <v>495</v>
      </c>
      <c r="F18" s="143" t="s">
        <v>276</v>
      </c>
      <c r="G18" s="156" t="s">
        <v>297</v>
      </c>
      <c r="H18" s="143" t="s">
        <v>298</v>
      </c>
      <c r="I18" s="143">
        <v>2013</v>
      </c>
      <c r="J18" s="160" t="s">
        <v>486</v>
      </c>
      <c r="K18" s="160" t="s">
        <v>486</v>
      </c>
      <c r="L18" s="165">
        <v>29000000</v>
      </c>
      <c r="M18" s="174">
        <v>170000</v>
      </c>
      <c r="N18" s="165">
        <v>29000000</v>
      </c>
    </row>
    <row r="19" spans="2:15" ht="24" customHeight="1" x14ac:dyDescent="0.2">
      <c r="B19" s="133">
        <v>25955</v>
      </c>
      <c r="C19" s="166">
        <f t="shared" ca="1" si="0"/>
        <v>43005</v>
      </c>
      <c r="D19" s="169">
        <f t="shared" ca="1" si="1"/>
        <v>46</v>
      </c>
      <c r="E19" s="169" t="s">
        <v>494</v>
      </c>
      <c r="F19" s="169" t="s">
        <v>276</v>
      </c>
      <c r="G19" s="171" t="s">
        <v>374</v>
      </c>
      <c r="H19" s="169" t="s">
        <v>412</v>
      </c>
      <c r="I19" s="169">
        <v>2002</v>
      </c>
      <c r="J19" s="170" t="s">
        <v>413</v>
      </c>
      <c r="K19" s="170" t="s">
        <v>414</v>
      </c>
      <c r="L19" s="172">
        <v>11300000</v>
      </c>
      <c r="M19" s="172">
        <v>170000</v>
      </c>
      <c r="N19" s="172">
        <f>+L19+M19</f>
        <v>11470000</v>
      </c>
      <c r="O19" s="94"/>
    </row>
    <row r="20" spans="2:15" s="104" customFormat="1" ht="24" customHeight="1" x14ac:dyDescent="0.2">
      <c r="B20" s="146">
        <v>25895</v>
      </c>
      <c r="C20" s="166">
        <f t="shared" ca="1" si="0"/>
        <v>43005</v>
      </c>
      <c r="D20" s="169">
        <f t="shared" ca="1" si="1"/>
        <v>46</v>
      </c>
      <c r="E20" s="167" t="s">
        <v>495</v>
      </c>
      <c r="F20" s="167" t="s">
        <v>288</v>
      </c>
      <c r="G20" s="173" t="s">
        <v>289</v>
      </c>
      <c r="H20" s="167" t="s">
        <v>290</v>
      </c>
      <c r="I20" s="167">
        <v>2009</v>
      </c>
      <c r="J20" s="160"/>
      <c r="K20" s="160"/>
      <c r="L20" s="174">
        <v>38200000</v>
      </c>
      <c r="M20" s="174">
        <v>170000</v>
      </c>
      <c r="N20" s="174">
        <v>38200000</v>
      </c>
    </row>
    <row r="21" spans="2:15" ht="24" customHeight="1" x14ac:dyDescent="0.2">
      <c r="B21" s="107">
        <v>25695</v>
      </c>
      <c r="C21" s="166">
        <f ca="1">TODAY()</f>
        <v>43005</v>
      </c>
      <c r="D21" s="169">
        <f t="shared" ca="1" si="1"/>
        <v>47</v>
      </c>
      <c r="E21" s="169" t="s">
        <v>494</v>
      </c>
      <c r="F21" s="169" t="s">
        <v>276</v>
      </c>
      <c r="G21" s="171" t="s">
        <v>305</v>
      </c>
      <c r="H21" s="169" t="s">
        <v>394</v>
      </c>
      <c r="I21" s="169">
        <v>2006</v>
      </c>
      <c r="J21" s="170" t="s">
        <v>395</v>
      </c>
      <c r="K21" s="170" t="s">
        <v>396</v>
      </c>
      <c r="L21" s="172">
        <v>12600000</v>
      </c>
      <c r="M21" s="172">
        <v>0</v>
      </c>
      <c r="N21" s="172">
        <f>+L21+M21</f>
        <v>12600000</v>
      </c>
      <c r="O21" s="94"/>
    </row>
    <row r="22" spans="2:15" ht="24" customHeight="1" x14ac:dyDescent="0.2">
      <c r="B22" s="146">
        <v>25592</v>
      </c>
      <c r="C22" s="166">
        <f t="shared" ca="1" si="0"/>
        <v>43005</v>
      </c>
      <c r="D22" s="169">
        <f t="shared" ca="1" si="1"/>
        <v>47</v>
      </c>
      <c r="E22" s="169" t="s">
        <v>495</v>
      </c>
      <c r="F22" s="169" t="s">
        <v>276</v>
      </c>
      <c r="G22" s="171" t="s">
        <v>277</v>
      </c>
      <c r="H22" s="169" t="s">
        <v>278</v>
      </c>
      <c r="I22" s="169">
        <v>2012</v>
      </c>
      <c r="J22" s="171" t="s">
        <v>281</v>
      </c>
      <c r="K22" s="170" t="s">
        <v>457</v>
      </c>
      <c r="L22" s="172">
        <v>21000000</v>
      </c>
      <c r="M22" s="171" t="s">
        <v>282</v>
      </c>
      <c r="N22" s="172">
        <v>21000000</v>
      </c>
      <c r="O22" s="94"/>
    </row>
    <row r="23" spans="2:15" ht="24" customHeight="1" x14ac:dyDescent="0.2">
      <c r="B23" s="166">
        <v>25096</v>
      </c>
      <c r="C23" s="166">
        <f t="shared" ca="1" si="0"/>
        <v>43005</v>
      </c>
      <c r="D23" s="169">
        <f t="shared" ca="1" si="1"/>
        <v>49</v>
      </c>
      <c r="E23" s="169" t="s">
        <v>495</v>
      </c>
      <c r="F23" s="169" t="s">
        <v>276</v>
      </c>
      <c r="G23" s="171" t="s">
        <v>293</v>
      </c>
      <c r="H23" s="169" t="s">
        <v>409</v>
      </c>
      <c r="I23" s="169">
        <v>2007</v>
      </c>
      <c r="J23" s="170" t="s">
        <v>410</v>
      </c>
      <c r="K23" s="170" t="s">
        <v>411</v>
      </c>
      <c r="L23" s="172">
        <v>12400000</v>
      </c>
      <c r="M23" s="172">
        <v>460000</v>
      </c>
      <c r="N23" s="172">
        <f>+L23+M23</f>
        <v>12860000</v>
      </c>
      <c r="O23" s="94"/>
    </row>
    <row r="24" spans="2:15" s="104" customFormat="1" ht="24" customHeight="1" x14ac:dyDescent="0.2">
      <c r="B24" s="146">
        <v>25092</v>
      </c>
      <c r="C24" s="166">
        <f t="shared" ca="1" si="0"/>
        <v>43005</v>
      </c>
      <c r="D24" s="169">
        <f t="shared" ca="1" si="1"/>
        <v>49</v>
      </c>
      <c r="E24" s="143" t="s">
        <v>494</v>
      </c>
      <c r="F24" s="143" t="s">
        <v>276</v>
      </c>
      <c r="G24" s="156" t="s">
        <v>277</v>
      </c>
      <c r="H24" s="143" t="s">
        <v>296</v>
      </c>
      <c r="I24" s="143">
        <v>2012</v>
      </c>
      <c r="J24" s="160" t="s">
        <v>486</v>
      </c>
      <c r="K24" s="160" t="s">
        <v>486</v>
      </c>
      <c r="L24" s="165">
        <v>33400000</v>
      </c>
      <c r="M24" s="174">
        <v>170000</v>
      </c>
      <c r="N24" s="165">
        <f t="shared" ref="N24" si="4">+L24+M24</f>
        <v>33570000</v>
      </c>
    </row>
    <row r="25" spans="2:15" ht="24" customHeight="1" x14ac:dyDescent="0.2">
      <c r="B25" s="133">
        <v>24637</v>
      </c>
      <c r="C25" s="166">
        <f t="shared" ca="1" si="0"/>
        <v>43005</v>
      </c>
      <c r="D25" s="169">
        <f t="shared" ca="1" si="1"/>
        <v>50</v>
      </c>
      <c r="E25" s="169" t="s">
        <v>494</v>
      </c>
      <c r="F25" s="169" t="s">
        <v>276</v>
      </c>
      <c r="G25" s="171" t="s">
        <v>293</v>
      </c>
      <c r="H25" s="169" t="s">
        <v>428</v>
      </c>
      <c r="I25" s="169">
        <v>2006</v>
      </c>
      <c r="J25" s="170" t="s">
        <v>429</v>
      </c>
      <c r="K25" s="170" t="s">
        <v>430</v>
      </c>
      <c r="L25" s="172">
        <v>11800000</v>
      </c>
      <c r="M25" s="172">
        <v>180000</v>
      </c>
      <c r="N25" s="172">
        <f>+L25+M25</f>
        <v>11980000</v>
      </c>
      <c r="O25" s="94"/>
    </row>
    <row r="26" spans="2:15" s="104" customFormat="1" ht="24" customHeight="1" x14ac:dyDescent="0.2">
      <c r="B26" s="146">
        <v>24319</v>
      </c>
      <c r="C26" s="166">
        <f t="shared" ca="1" si="0"/>
        <v>43005</v>
      </c>
      <c r="D26" s="169">
        <f t="shared" ca="1" si="1"/>
        <v>51</v>
      </c>
      <c r="E26" s="167" t="s">
        <v>494</v>
      </c>
      <c r="F26" s="167" t="s">
        <v>276</v>
      </c>
      <c r="G26" s="173" t="s">
        <v>283</v>
      </c>
      <c r="H26" s="167" t="s">
        <v>480</v>
      </c>
      <c r="I26" s="167">
        <v>2011</v>
      </c>
      <c r="J26" s="160" t="s">
        <v>481</v>
      </c>
      <c r="K26" s="160" t="s">
        <v>482</v>
      </c>
      <c r="L26" s="174"/>
      <c r="M26" s="174">
        <v>170000</v>
      </c>
      <c r="N26" s="174"/>
    </row>
    <row r="27" spans="2:15" s="104" customFormat="1" ht="24" customHeight="1" x14ac:dyDescent="0.2">
      <c r="B27" s="146">
        <v>24109</v>
      </c>
      <c r="C27" s="166">
        <f t="shared" ca="1" si="0"/>
        <v>43005</v>
      </c>
      <c r="D27" s="169">
        <f t="shared" ca="1" si="1"/>
        <v>51</v>
      </c>
      <c r="E27" s="143" t="s">
        <v>494</v>
      </c>
      <c r="F27" s="143" t="s">
        <v>288</v>
      </c>
      <c r="G27" s="156" t="s">
        <v>294</v>
      </c>
      <c r="H27" s="143" t="s">
        <v>295</v>
      </c>
      <c r="I27" s="143">
        <v>2009</v>
      </c>
      <c r="J27" s="160" t="s">
        <v>486</v>
      </c>
      <c r="K27" s="160" t="s">
        <v>486</v>
      </c>
      <c r="L27" s="165">
        <v>35100000</v>
      </c>
      <c r="M27" s="174">
        <v>170000</v>
      </c>
      <c r="N27" s="165">
        <v>35960000</v>
      </c>
    </row>
    <row r="28" spans="2:15" ht="24" customHeight="1" x14ac:dyDescent="0.2">
      <c r="B28" s="108">
        <v>23766</v>
      </c>
      <c r="C28" s="166">
        <f t="shared" ca="1" si="0"/>
        <v>43005</v>
      </c>
      <c r="D28" s="169">
        <f t="shared" ca="1" si="1"/>
        <v>52</v>
      </c>
      <c r="E28" s="169" t="s">
        <v>495</v>
      </c>
      <c r="F28" s="169" t="s">
        <v>276</v>
      </c>
      <c r="G28" s="171" t="s">
        <v>293</v>
      </c>
      <c r="H28" s="169" t="s">
        <v>446</v>
      </c>
      <c r="I28" s="169">
        <v>2004</v>
      </c>
      <c r="J28" s="170" t="s">
        <v>447</v>
      </c>
      <c r="K28" s="170" t="s">
        <v>448</v>
      </c>
      <c r="L28" s="172">
        <v>9700000</v>
      </c>
      <c r="M28" s="172">
        <v>640000</v>
      </c>
      <c r="N28" s="172">
        <f>+L28+M28</f>
        <v>10340000</v>
      </c>
      <c r="O28" s="94"/>
    </row>
    <row r="29" spans="2:15" ht="24" customHeight="1" x14ac:dyDescent="0.2">
      <c r="B29" s="136">
        <v>23165</v>
      </c>
      <c r="C29" s="166">
        <f t="shared" ca="1" si="0"/>
        <v>43005</v>
      </c>
      <c r="D29" s="169">
        <f t="shared" ca="1" si="1"/>
        <v>54</v>
      </c>
      <c r="E29" s="169" t="s">
        <v>494</v>
      </c>
      <c r="F29" s="169" t="s">
        <v>276</v>
      </c>
      <c r="G29" s="171" t="s">
        <v>293</v>
      </c>
      <c r="H29" s="169" t="s">
        <v>406</v>
      </c>
      <c r="I29" s="169">
        <v>2002</v>
      </c>
      <c r="J29" s="170" t="s">
        <v>407</v>
      </c>
      <c r="K29" s="170" t="s">
        <v>408</v>
      </c>
      <c r="L29" s="172">
        <v>12700000</v>
      </c>
      <c r="M29" s="172">
        <v>350000</v>
      </c>
      <c r="N29" s="172">
        <f>+L29+M29</f>
        <v>13050000</v>
      </c>
      <c r="O29" s="94"/>
    </row>
    <row r="30" spans="2:15" ht="24" customHeight="1" x14ac:dyDescent="0.2">
      <c r="B30" s="146">
        <v>23169</v>
      </c>
      <c r="C30" s="166">
        <f t="shared" ca="1" si="0"/>
        <v>43005</v>
      </c>
      <c r="D30" s="169">
        <f t="shared" ca="1" si="1"/>
        <v>54</v>
      </c>
      <c r="E30" s="169" t="s">
        <v>495</v>
      </c>
      <c r="F30" s="169" t="s">
        <v>276</v>
      </c>
      <c r="G30" s="171" t="s">
        <v>283</v>
      </c>
      <c r="H30" s="169" t="s">
        <v>443</v>
      </c>
      <c r="I30" s="169">
        <v>2013</v>
      </c>
      <c r="J30" s="170" t="s">
        <v>444</v>
      </c>
      <c r="K30" s="170" t="s">
        <v>445</v>
      </c>
      <c r="L30" s="172">
        <v>34000000</v>
      </c>
      <c r="M30" s="172">
        <v>0</v>
      </c>
      <c r="N30" s="172">
        <f>+L30+M30</f>
        <v>34000000</v>
      </c>
      <c r="O30" s="94"/>
    </row>
    <row r="31" spans="2:15" ht="24" customHeight="1" x14ac:dyDescent="0.2">
      <c r="B31" s="136">
        <v>22266</v>
      </c>
      <c r="C31" s="166">
        <f t="shared" ca="1" si="0"/>
        <v>43005</v>
      </c>
      <c r="D31" s="169">
        <f t="shared" ref="D31:D36" ca="1" si="5">INT((C31-B31)/365)</f>
        <v>56</v>
      </c>
      <c r="E31" s="169" t="s">
        <v>495</v>
      </c>
      <c r="F31" s="169" t="s">
        <v>276</v>
      </c>
      <c r="G31" s="171" t="s">
        <v>293</v>
      </c>
      <c r="H31" s="169" t="s">
        <v>397</v>
      </c>
      <c r="I31" s="169">
        <v>2007</v>
      </c>
      <c r="J31" s="170" t="s">
        <v>398</v>
      </c>
      <c r="K31" s="170" t="s">
        <v>399</v>
      </c>
      <c r="L31" s="172">
        <v>12900000</v>
      </c>
      <c r="M31" s="172">
        <v>0</v>
      </c>
      <c r="N31" s="172">
        <f t="shared" ref="N31:N36" si="6">+L31+M31</f>
        <v>12900000</v>
      </c>
      <c r="O31" s="94"/>
    </row>
    <row r="32" spans="2:15" ht="24" customHeight="1" x14ac:dyDescent="0.2">
      <c r="B32" s="146">
        <v>22329</v>
      </c>
      <c r="C32" s="166">
        <f t="shared" ca="1" si="0"/>
        <v>43005</v>
      </c>
      <c r="D32" s="169">
        <f ca="1">INT((C32-B32)/365)</f>
        <v>56</v>
      </c>
      <c r="E32" s="169" t="s">
        <v>495</v>
      </c>
      <c r="F32" s="169" t="s">
        <v>292</v>
      </c>
      <c r="G32" s="171" t="s">
        <v>418</v>
      </c>
      <c r="H32" s="169" t="s">
        <v>419</v>
      </c>
      <c r="I32" s="169">
        <v>2010</v>
      </c>
      <c r="J32" s="170" t="s">
        <v>420</v>
      </c>
      <c r="K32" s="170" t="s">
        <v>421</v>
      </c>
      <c r="L32" s="172">
        <v>38900000</v>
      </c>
      <c r="M32" s="172">
        <v>870000</v>
      </c>
      <c r="N32" s="172">
        <f>+L32+M32</f>
        <v>39770000</v>
      </c>
      <c r="O32" s="94"/>
    </row>
    <row r="33" spans="2:15" ht="24" customHeight="1" x14ac:dyDescent="0.2">
      <c r="B33" s="146">
        <v>21950</v>
      </c>
      <c r="C33" s="166">
        <f t="shared" ca="1" si="0"/>
        <v>43005</v>
      </c>
      <c r="D33" s="169">
        <f ca="1">INT((C33-B33)/365)</f>
        <v>57</v>
      </c>
      <c r="E33" s="169" t="s">
        <v>495</v>
      </c>
      <c r="F33" s="169" t="s">
        <v>288</v>
      </c>
      <c r="G33" s="171" t="s">
        <v>277</v>
      </c>
      <c r="H33" s="169" t="s">
        <v>434</v>
      </c>
      <c r="I33" s="169">
        <v>2007</v>
      </c>
      <c r="J33" s="170" t="s">
        <v>435</v>
      </c>
      <c r="K33" s="170" t="s">
        <v>436</v>
      </c>
      <c r="L33" s="172">
        <v>25800000</v>
      </c>
      <c r="M33" s="172">
        <v>0</v>
      </c>
      <c r="N33" s="172">
        <f>+L33+M33</f>
        <v>25800000</v>
      </c>
      <c r="O33" s="94"/>
    </row>
    <row r="34" spans="2:15" s="104" customFormat="1" ht="24" customHeight="1" x14ac:dyDescent="0.2">
      <c r="B34" s="146">
        <v>21942</v>
      </c>
      <c r="C34" s="166">
        <f t="shared" ca="1" si="0"/>
        <v>43005</v>
      </c>
      <c r="D34" s="169">
        <f ca="1">INT((C34-B34)/365)</f>
        <v>57</v>
      </c>
      <c r="E34" s="167" t="s">
        <v>495</v>
      </c>
      <c r="F34" s="167" t="s">
        <v>276</v>
      </c>
      <c r="G34" s="173" t="s">
        <v>283</v>
      </c>
      <c r="H34" s="167" t="s">
        <v>477</v>
      </c>
      <c r="I34" s="167">
        <v>2013</v>
      </c>
      <c r="J34" s="160" t="s">
        <v>478</v>
      </c>
      <c r="K34" s="160" t="s">
        <v>479</v>
      </c>
      <c r="L34" s="174">
        <v>26000000</v>
      </c>
      <c r="M34" s="174">
        <v>170000</v>
      </c>
      <c r="N34" s="174">
        <v>26000000</v>
      </c>
    </row>
    <row r="35" spans="2:15" ht="24" customHeight="1" x14ac:dyDescent="0.2">
      <c r="B35" s="108">
        <v>21268</v>
      </c>
      <c r="C35" s="166">
        <f t="shared" ca="1" si="0"/>
        <v>43005</v>
      </c>
      <c r="D35" s="169">
        <f t="shared" ca="1" si="5"/>
        <v>59</v>
      </c>
      <c r="E35" s="169" t="s">
        <v>494</v>
      </c>
      <c r="F35" s="169" t="s">
        <v>276</v>
      </c>
      <c r="G35" s="171" t="s">
        <v>283</v>
      </c>
      <c r="H35" s="169" t="s">
        <v>400</v>
      </c>
      <c r="I35" s="169">
        <v>2012</v>
      </c>
      <c r="J35" s="170" t="s">
        <v>401</v>
      </c>
      <c r="K35" s="170" t="s">
        <v>402</v>
      </c>
      <c r="L35" s="172">
        <v>23500000</v>
      </c>
      <c r="M35" s="172">
        <v>305000</v>
      </c>
      <c r="N35" s="172">
        <f t="shared" si="6"/>
        <v>23805000</v>
      </c>
      <c r="O35" s="94"/>
    </row>
    <row r="36" spans="2:15" ht="24" customHeight="1" x14ac:dyDescent="0.2">
      <c r="B36" s="116">
        <v>20461</v>
      </c>
      <c r="C36" s="166">
        <f t="shared" ca="1" si="0"/>
        <v>43005</v>
      </c>
      <c r="D36" s="169">
        <f t="shared" ca="1" si="5"/>
        <v>61</v>
      </c>
      <c r="E36" s="169" t="s">
        <v>494</v>
      </c>
      <c r="F36" s="169" t="s">
        <v>276</v>
      </c>
      <c r="G36" s="171" t="s">
        <v>293</v>
      </c>
      <c r="H36" s="169" t="s">
        <v>403</v>
      </c>
      <c r="I36" s="169">
        <v>2002</v>
      </c>
      <c r="J36" s="170" t="s">
        <v>404</v>
      </c>
      <c r="K36" s="170" t="s">
        <v>405</v>
      </c>
      <c r="L36" s="172">
        <v>9500000</v>
      </c>
      <c r="M36" s="172">
        <v>0</v>
      </c>
      <c r="N36" s="172">
        <f t="shared" si="6"/>
        <v>9500000</v>
      </c>
      <c r="O36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Buscador</vt:lpstr>
      <vt:lpstr>Vida Libre Inversión</vt:lpstr>
      <vt:lpstr>Vida Vehículo</vt:lpstr>
      <vt:lpstr>Vida Vivienda</vt:lpstr>
      <vt:lpstr>Incendio</vt:lpstr>
      <vt:lpstr>Autos Deudores</vt:lpstr>
      <vt:lpstr>Autos Empleados</vt:lpstr>
      <vt:lpstr>Buscador!Área_de_impresión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LSA0000</dc:creator>
  <cp:lastModifiedBy>Fabián Camilo Hernández Pérez</cp:lastModifiedBy>
  <cp:lastPrinted>2013-11-25T19:44:33Z</cp:lastPrinted>
  <dcterms:created xsi:type="dcterms:W3CDTF">2013-10-02T00:03:06Z</dcterms:created>
  <dcterms:modified xsi:type="dcterms:W3CDTF">2017-09-27T21:16:58Z</dcterms:modified>
</cp:coreProperties>
</file>